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13999974" sheetId="1" r:id="rId1"/>
  </sheets>
  <calcPr calcId="152511"/>
  <extLst>
    <ext uri="GoogleSheetsCustomDataVersion1">
      <go:sheetsCustomData xmlns:go="http://customooxmlschemas.google.com/" r:id="rId5" roundtripDataSignature="AMtx7mjowzkMOpw5UpnmjGWCzM3JWrFdyw=="/>
    </ext>
  </extLst>
</workbook>
</file>

<file path=xl/calcChain.xml><?xml version="1.0" encoding="utf-8"?>
<calcChain xmlns="http://schemas.openxmlformats.org/spreadsheetml/2006/main">
  <c r="M338" i="1" l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</calcChain>
</file>

<file path=xl/sharedStrings.xml><?xml version="1.0" encoding="utf-8"?>
<sst xmlns="http://schemas.openxmlformats.org/spreadsheetml/2006/main" count="2633" uniqueCount="1159">
  <si>
    <t>LOCATION</t>
  </si>
  <si>
    <t>LOT #</t>
  </si>
  <si>
    <t>BOL #</t>
  </si>
  <si>
    <t>CATEGORY</t>
  </si>
  <si>
    <t>RETURN TYPE</t>
  </si>
  <si>
    <t># OF PALLETS</t>
  </si>
  <si>
    <t># OF CARTONS</t>
  </si>
  <si>
    <t>WEIGHT</t>
  </si>
  <si>
    <t>TOTAL ORIGINAL RETAIL</t>
  </si>
  <si>
    <t># OF UNITS</t>
  </si>
  <si>
    <t>FL</t>
  </si>
  <si>
    <t>TEXTILES</t>
  </si>
  <si>
    <t>STORE STOCK</t>
  </si>
  <si>
    <t>TOTAL: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</si>
  <si>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</si>
  <si>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</si>
  <si>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</si>
  <si>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</si>
  <si>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</si>
  <si>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</si>
  <si>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</si>
  <si>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CLIENT COST</t>
  </si>
  <si>
    <t>DEPARTMENT NAME</t>
  </si>
  <si>
    <t>VENDOR NAME</t>
  </si>
  <si>
    <t>COUNTRY OF ORIGIN</t>
  </si>
  <si>
    <t>FABRIC CONTENT</t>
  </si>
  <si>
    <t>IMAGE</t>
  </si>
  <si>
    <t>800298618419</t>
  </si>
  <si>
    <t>Donna Karan Moonscape Reversible Textured Charcoal King</t>
  </si>
  <si>
    <t>MOD118173DVJ</t>
  </si>
  <si>
    <t>GRAY</t>
  </si>
  <si>
    <t>NEO COLLECTNS</t>
  </si>
  <si>
    <t>DONNA KARAN HOME/CHF INDUSTRIES</t>
  </si>
  <si>
    <t>IMPORTED</t>
  </si>
  <si>
    <t>POLYESTER/RAYON</t>
  </si>
  <si>
    <t>800298684728</t>
  </si>
  <si>
    <t>DKNY DKNY Pure Comfy King Comforter White King</t>
  </si>
  <si>
    <t>PGD001009KCMF</t>
  </si>
  <si>
    <t>WHITE</t>
  </si>
  <si>
    <t>100% COTTON</t>
  </si>
  <si>
    <t>675716925369</t>
  </si>
  <si>
    <t>Madison Park Signature Madison Park Signature Serene Linen FullQueen</t>
  </si>
  <si>
    <t>MPS13-270</t>
  </si>
  <si>
    <t>BEIGE</t>
  </si>
  <si>
    <t>DEC PILL/THRW</t>
  </si>
  <si>
    <t>JLA HOME/E &amp; E CO LTD</t>
  </si>
  <si>
    <t>COVERLET/SHAM - 100% COTTON VOLIE, COVERLET FILL - 250GRAM 100% COTTON</t>
  </si>
  <si>
    <t>886087422481</t>
  </si>
  <si>
    <t>Lauren Ralph Lauren Lauren Ralph Lauren Millerton Blue FullQueen</t>
  </si>
  <si>
    <t>NAVY</t>
  </si>
  <si>
    <t>LAUREN BEDDNG</t>
  </si>
  <si>
    <t>LAUREN BY RL/RALPH LAUREN HOME COLL</t>
  </si>
  <si>
    <t>675716821739</t>
  </si>
  <si>
    <t>Madison Park Rhapsody 7-Pc. King Comforter Grey King</t>
  </si>
  <si>
    <t>MP10-3397</t>
  </si>
  <si>
    <t>MOD BEDDING</t>
  </si>
  <si>
    <t>COMFORTER/SHAM/BEDSKIRT (PLATFORM AND DROP)/PILLOW: POLYESTER; COMFORTER FILL: POLYESTER 270 GRAMS PER SQUARE METER; PILLOW FILL: POLYESTER</t>
  </si>
  <si>
    <t>675716507794</t>
  </si>
  <si>
    <t>Madison Park Madison Park Princeton 7-Pc Ki Red King</t>
  </si>
  <si>
    <t>MP10-698</t>
  </si>
  <si>
    <t>RED</t>
  </si>
  <si>
    <t>100% POLYESTER; COMFORTER FILL: 100% POLYESTER; DECORATIVE PILLOW FILL: 100% POLYESTER</t>
  </si>
  <si>
    <t>96675194175</t>
  </si>
  <si>
    <t>SensorGel Arctic Nights 10x Cooler Perso White</t>
  </si>
  <si>
    <t>PILLWS&amp;PADS</t>
  </si>
  <si>
    <t>SOFT-TEX MFG CO/SOFT-TEX INT'L INC</t>
  </si>
  <si>
    <t>86569251770</t>
  </si>
  <si>
    <t>Urban Habitat 158 Grey KingCalifornia King</t>
  </si>
  <si>
    <t>UH12-2281</t>
  </si>
  <si>
    <t>675716547844</t>
  </si>
  <si>
    <t>Madison Park Arctic 3-Pc. KingCalifornia K Ivory California King</t>
  </si>
  <si>
    <t>BASI10-0255</t>
  </si>
  <si>
    <t>NATURAL</t>
  </si>
  <si>
    <t>FACE, BACK, AND FILLING: POLYESTER</t>
  </si>
  <si>
    <t>86569165633</t>
  </si>
  <si>
    <t>Madison Park Madison Park Quebec 3-Piece Qu Purple Queen</t>
  </si>
  <si>
    <t>MP13-6153</t>
  </si>
  <si>
    <t>PURPLE</t>
  </si>
  <si>
    <t>COTTON/POLYESTER/OTHER FIBER</t>
  </si>
  <si>
    <t>675716624873</t>
  </si>
  <si>
    <t>Madison Park Madison Park Quebec 3-Piece Qu Khaki Queen</t>
  </si>
  <si>
    <t>MP13-1565</t>
  </si>
  <si>
    <t>BEIGEKHAKI</t>
  </si>
  <si>
    <t>675716969585</t>
  </si>
  <si>
    <t>Madison Park Madison Park Harper Velvet 3-P Teal KingCalifornia King</t>
  </si>
  <si>
    <t>MP13-4612</t>
  </si>
  <si>
    <t>MED BLUE</t>
  </si>
  <si>
    <t>FABRIC: POLYESTER; COVERLET FILL: COTTON/POLYESTER/OTHER 85 GSM</t>
  </si>
  <si>
    <t>800298662627</t>
  </si>
  <si>
    <t>DKNY DKNY PURE Texture Queen Duvet Grey Queen</t>
  </si>
  <si>
    <t>PTX100052DVG</t>
  </si>
  <si>
    <t>FACE: 100% COTTON SLUB, 350 GSMREVERSE : 100% COTTON, 180 TC</t>
  </si>
  <si>
    <t>675716653675</t>
  </si>
  <si>
    <t>Sleep Philosophy 3M Thinsulate 300-Thread Coun White King</t>
  </si>
  <si>
    <t>BASI10-0292</t>
  </si>
  <si>
    <t>DOWN COMFORTR</t>
  </si>
  <si>
    <t>675716809577</t>
  </si>
  <si>
    <t>Madison Park Madison Park Harper Velvet 3-P Ivory FullQueen</t>
  </si>
  <si>
    <t>MP13-3301</t>
  </si>
  <si>
    <t>675716980870</t>
  </si>
  <si>
    <t>Woolrich Buffalo Check Reversible 3-Pc. Tan FullQueen</t>
  </si>
  <si>
    <t>WR14-2019</t>
  </si>
  <si>
    <t>MED BEIGE</t>
  </si>
  <si>
    <t>QUILT AND SHAMS: COTTON; QUILT FILL: COTTON/POLYESTER/OTHER FIBER 250GSM</t>
  </si>
  <si>
    <t>86569154781</t>
  </si>
  <si>
    <t>Madison Park Madison Park Tuscany 3-Pc King Seafoam KingCalifornia King</t>
  </si>
  <si>
    <t>MP13-6120</t>
  </si>
  <si>
    <t>MED GREEN</t>
  </si>
  <si>
    <t>POLYESTER/COTTON</t>
  </si>
  <si>
    <t>194938017022</t>
  </si>
  <si>
    <t>Lush Decor Roesser Patchwork Cotton 3 Pie Multi King</t>
  </si>
  <si>
    <t>16T007346</t>
  </si>
  <si>
    <t>LUSH DECOR/TRIANGLE HOME FASHIONS</t>
  </si>
  <si>
    <t>86569926975</t>
  </si>
  <si>
    <t>Madison Park Arya Reversible 3-Pc. FullQue Blush FullQueen</t>
  </si>
  <si>
    <t>MP10-5061</t>
  </si>
  <si>
    <t>MED PINK</t>
  </si>
  <si>
    <t>FABRIC: POLYESTER; POLYESTER FILL</t>
  </si>
  <si>
    <t>693614012622</t>
  </si>
  <si>
    <t>Ella Jayne Lofty 100 Cotton Plush Gel Fi White Queen</t>
  </si>
  <si>
    <t>EJHFBFC3</t>
  </si>
  <si>
    <t>QNMATTRESS</t>
  </si>
  <si>
    <t>ELLA JAYNE/PILLOW GUY INC</t>
  </si>
  <si>
    <t>COTTON/POLYESTER</t>
  </si>
  <si>
    <t>783048106605</t>
  </si>
  <si>
    <t>5th Avenue Lux 5th Avenue Lux Noelle 7-Piece Gold King</t>
  </si>
  <si>
    <t>CS3211GDK7-1300</t>
  </si>
  <si>
    <t>PEM AMERICA INC</t>
  </si>
  <si>
    <t>POLYESTER</t>
  </si>
  <si>
    <t>754069700059</t>
  </si>
  <si>
    <t>American Heritage Textiles American Heritage Textiles Chu Indigo ONE SIZE</t>
  </si>
  <si>
    <t>70X52</t>
  </si>
  <si>
    <t>AMERICAN HERITAGE TEXTILE</t>
  </si>
  <si>
    <t>ACRYLIC</t>
  </si>
  <si>
    <t>32281247485</t>
  </si>
  <si>
    <t>Jay Franco Minecraft Twin 6-Pc. Comforter Multi Color Twin</t>
  </si>
  <si>
    <t>JF24748MCD</t>
  </si>
  <si>
    <t>KIDS&amp;YTH BEDD</t>
  </si>
  <si>
    <t>DISNEY/JAY FRANCO &amp; SONS</t>
  </si>
  <si>
    <t>32281247379</t>
  </si>
  <si>
    <t>Jojo Siwa JoJo Rainbow Sparkle 6-Pc. Twi Multi Color Twin</t>
  </si>
  <si>
    <t>JF24737MCD</t>
  </si>
  <si>
    <t>86569449443</t>
  </si>
  <si>
    <t>Intelligent Design Intelligent Design Felicia Kin Blush KingCalifornia King</t>
  </si>
  <si>
    <t>ID10-1970</t>
  </si>
  <si>
    <t>NATORI/JLA HOME/E &amp; E CO LTD</t>
  </si>
  <si>
    <t>706795738721</t>
  </si>
  <si>
    <t>Exclusive Fabrics Furnishing Exclusive Fabrics Furnishing White 50 x 108</t>
  </si>
  <si>
    <t>PDCH-KBS1BO-108</t>
  </si>
  <si>
    <t>NO SIZE</t>
  </si>
  <si>
    <t>EXCLUSIVE FABRICS &amp; FURNISHINGS LLC</t>
  </si>
  <si>
    <t>100% POLYESTER</t>
  </si>
  <si>
    <t>86569449399</t>
  </si>
  <si>
    <t>Intelligent Design Intelligent Design Zoey KingC Blush - Rose KingCalifornia King</t>
  </si>
  <si>
    <t>ID10-1965</t>
  </si>
  <si>
    <t>86569097460</t>
  </si>
  <si>
    <t>510 Design 119 Khaki King</t>
  </si>
  <si>
    <t>5DS13-0169</t>
  </si>
  <si>
    <t>100% POLYESTER MICROFIBER</t>
  </si>
  <si>
    <t>733001712954</t>
  </si>
  <si>
    <t>Martha Stewart Collection Holiday Yarn-Dye King Quilt Red King</t>
  </si>
  <si>
    <t>100104003KG</t>
  </si>
  <si>
    <t>MEDIUM RED</t>
  </si>
  <si>
    <t>PB SEASON BED</t>
  </si>
  <si>
    <t>MARTHA STEWART-MMG/COLLECTION 43417</t>
  </si>
  <si>
    <t>733003938871</t>
  </si>
  <si>
    <t>Charter Club Holly Berries Cotton 4-Pc. Kin Candy Cane Stripe King</t>
  </si>
  <si>
    <t>100126844KG</t>
  </si>
  <si>
    <t>CHRT CLB DSGN</t>
  </si>
  <si>
    <t>CHARTER CLUB-EDI/RWI/LAMEIRINHO</t>
  </si>
  <si>
    <t>733003938925</t>
  </si>
  <si>
    <t>Charter Club Holly Berries Cotton 4-Pc. Kin Stags King</t>
  </si>
  <si>
    <t>100126846KG</t>
  </si>
  <si>
    <t>733003938963</t>
  </si>
  <si>
    <t>Charter Club Holly Berries Cotton 4-Pc. Kin Holly Berries King</t>
  </si>
  <si>
    <t>100127837KG</t>
  </si>
  <si>
    <t>GREEN</t>
  </si>
  <si>
    <t>733003938833</t>
  </si>
  <si>
    <t>Charter Club Damask Designs Supima Cotton 5 Medium Red King</t>
  </si>
  <si>
    <t>100108503KG</t>
  </si>
  <si>
    <t>86569497550</t>
  </si>
  <si>
    <t>Addison Park Trent 9-Pc. Geo Jacquard King Mineral King</t>
  </si>
  <si>
    <t>MCH10-2391</t>
  </si>
  <si>
    <t>733003938970</t>
  </si>
  <si>
    <t>Charter Club Holly Berries Cotton 4-Pc. Que Holly Berries Queen</t>
  </si>
  <si>
    <t>100127837QN</t>
  </si>
  <si>
    <t>733003938932</t>
  </si>
  <si>
    <t>Charter Club Holly Berries Cotton 4-Pc. Que Stags Queen</t>
  </si>
  <si>
    <t>100126846QN</t>
  </si>
  <si>
    <t>733003938840</t>
  </si>
  <si>
    <t>Charter Club Damask Designs Supima Cotton 5 Medium Red Queen</t>
  </si>
  <si>
    <t>100108503QN</t>
  </si>
  <si>
    <t>733001712947</t>
  </si>
  <si>
    <t>Martha Stewart Collection Holiday Yarn-Dye FullQueen Qu Red FullQueen</t>
  </si>
  <si>
    <t>100104003FQ</t>
  </si>
  <si>
    <t>841323155356</t>
  </si>
  <si>
    <t>Geneva Home Fashion Laken 7pc Queen Bed in a Bag Blue Queen</t>
  </si>
  <si>
    <t>LAK7BBFUQUGHBL</t>
  </si>
  <si>
    <t>GENEVA HOME FASHION LLC</t>
  </si>
  <si>
    <t>100% POLYESTER MICROFIBER, COMFORTER FILL: 100% POLYESTER</t>
  </si>
  <si>
    <t>886087390513</t>
  </si>
  <si>
    <t>Lauren Ralph Lauren Lauren Ralph Lauren Corrine Pi White Chocolate Square Decorative Pilllow</t>
  </si>
  <si>
    <t>BROWN</t>
  </si>
  <si>
    <t>20X20</t>
  </si>
  <si>
    <t>735732310294</t>
  </si>
  <si>
    <t>VCNY Home VCNY Home Nina Embossed Comfor White King</t>
  </si>
  <si>
    <t>N11-3CS-KING-IN-WHIT</t>
  </si>
  <si>
    <t>KGCOMFORTE</t>
  </si>
  <si>
    <t>TEXTILES-EUROPE INC</t>
  </si>
  <si>
    <t>735732310263</t>
  </si>
  <si>
    <t>VCNY Home VCNY Home Nina Embossed Comfor Blue King</t>
  </si>
  <si>
    <t>N11-3CS-KING-IN-BLUE</t>
  </si>
  <si>
    <t>BLUE</t>
  </si>
  <si>
    <t>675716674885</t>
  </si>
  <si>
    <t>Sleep Philosophy Peyton Reversible 3-Pc. FullQ Aqua FullQueen</t>
  </si>
  <si>
    <t>BASI10-0343</t>
  </si>
  <si>
    <t>TURQ/AQUA</t>
  </si>
  <si>
    <t>86569040503</t>
  </si>
  <si>
    <t>Urban Habitat Urban Habitat Cole FullQueen Navy FullQueen</t>
  </si>
  <si>
    <t>UH10-2196</t>
  </si>
  <si>
    <t>COMFORTER/SHAM - 150GSM COTTON, POLYESTER JERSEY KNIT FABRIC, COMFORTER FILL - POLYESTER</t>
  </si>
  <si>
    <t>675716899806</t>
  </si>
  <si>
    <t>Intelligent Design Joni 4-Pc. TwinTwin XL Coverl Purple TwinTwin XL</t>
  </si>
  <si>
    <t>ID13-1100</t>
  </si>
  <si>
    <t>COVERLET/SHAM: POLYESTER 85 GRAMS (FACE AND REVERSE); PILLOW: POLYESTER; COVERLET FILL: COTTON/POLYESTER/OTHER 240 GRAMS PER SQUARE METER; PILLOW FILL: POLYESTER</t>
  </si>
  <si>
    <t>86569267498</t>
  </si>
  <si>
    <t>Madison Park Blaire 7-Pc. Faux-Silk Queen C Tan Queen</t>
  </si>
  <si>
    <t>MP10-6578</t>
  </si>
  <si>
    <t>FAUX-SILK COMFORTER AND SHAM FACE: POLYESTER; MICROFIBER FROM POLYESTER REVERSE; BEDSKIRT: POLYESTER; DECORATIVE PILLOWS: POLYESTER; POLYESTER FILL; COMFORTER FILL: POLYESTER 8-OZ. PER SQUARE YARD</t>
  </si>
  <si>
    <t>783048037206</t>
  </si>
  <si>
    <t>Truly Soft Truly Soft Everyday Hotel Bord White And Black FullQueen</t>
  </si>
  <si>
    <t>CS2182WBFQ7-00</t>
  </si>
  <si>
    <t>675716534929</t>
  </si>
  <si>
    <t>Madison Park Kannapali 7-Pc. Queen Comforte Green Queen</t>
  </si>
  <si>
    <t>MP10-925</t>
  </si>
  <si>
    <t>YELLOW</t>
  </si>
  <si>
    <t>COMFORTER/SHAM: COTTON, REVERSES TO COTTON/POLYESTER THREAD COUNT: 200, REVERSES TO 180; PILLOW: POLYESTER THREAD COUNT: 180; BEDSKIRT: COTTON/POLYESTER THREAD COUNT: 180; COMFORTER FILL: POLYESTER 270 GRAMS PER SQUARE METER; PILLOW FILL: POLYESTER</t>
  </si>
  <si>
    <t>675716795450</t>
  </si>
  <si>
    <t>Madison Park Cloud Soft California King Ove White Full</t>
  </si>
  <si>
    <t>MP16-3149</t>
  </si>
  <si>
    <t>RFMATTRESS</t>
  </si>
  <si>
    <t>WONDER WOOL/JLA HOME/E &amp; E CO LTD</t>
  </si>
  <si>
    <t>POLYESTER MICROLIGHT, 200GSM FACE; POLYESTER NON-WOVEN WITH WATERPROOF COATING BACK; POLYESTER 14OZ/YD2 6D BRUSHED FIBER FILLING; POLYESTER/SPANDEX KNIT SKIRT</t>
  </si>
  <si>
    <t>733001712985</t>
  </si>
  <si>
    <t>Martha Stewart Collection Holiday Yarn-Dye Twin Quilt Red TwinTwin XL</t>
  </si>
  <si>
    <t>100104003TW</t>
  </si>
  <si>
    <t>732998897699</t>
  </si>
  <si>
    <t>Charter Club Damask Designs Jacobean 300-Th Smoke FullQueen</t>
  </si>
  <si>
    <t>100079947FQ</t>
  </si>
  <si>
    <t>MMG-CHARTER CLUB</t>
  </si>
  <si>
    <t>734737617643</t>
  </si>
  <si>
    <t>Sunham Fairfield Square Waverly 450 T Blush Damask King</t>
  </si>
  <si>
    <t>BRGHT PINK</t>
  </si>
  <si>
    <t>SHEETS &amp;CASES</t>
  </si>
  <si>
    <t>SUNHAM CO USA</t>
  </si>
  <si>
    <t>86569062642</t>
  </si>
  <si>
    <t>Mi Zone Mi Zone Camille 4-Pc FullQuee Pink FullQueen</t>
  </si>
  <si>
    <t>MZ10-0561</t>
  </si>
  <si>
    <t>PINK</t>
  </si>
  <si>
    <t>100% POLYESTER; COMFORTER FILL:100% POLYESTER; DECORATIVE PILLOW FILL: 100% POLYESTER</t>
  </si>
  <si>
    <t>733003938918</t>
  </si>
  <si>
    <t>Charter Club Holly Berries Cotton 4-Pc. Ful Stags Full</t>
  </si>
  <si>
    <t>100126846FL</t>
  </si>
  <si>
    <t>733003938826</t>
  </si>
  <si>
    <t>Charter Club Damask Designs Supima Cotton 5 Medium Red Full</t>
  </si>
  <si>
    <t>100108503FL</t>
  </si>
  <si>
    <t>733003938864</t>
  </si>
  <si>
    <t>Charter Club Holly Berries Cotton 4-Pc. Ful Candy Cane Stripe Full</t>
  </si>
  <si>
    <t>100126844FL</t>
  </si>
  <si>
    <t>733003938956</t>
  </si>
  <si>
    <t>Charter Club Holly Berries Cotton 4-Pc. Ful Holly Berries Full</t>
  </si>
  <si>
    <t>100127837FL</t>
  </si>
  <si>
    <t>675716620127</t>
  </si>
  <si>
    <t>Madison Park Liquid Cotton King Blanket Seafoam King</t>
  </si>
  <si>
    <t>BL51N-0737</t>
  </si>
  <si>
    <t>PB BLANKETS</t>
  </si>
  <si>
    <t>735732189715</t>
  </si>
  <si>
    <t>VCNY Home VCNY Home Casa Real Reversibl Multi King</t>
  </si>
  <si>
    <t>C10-5CS-KING-IN-MULT</t>
  </si>
  <si>
    <t>FABRIC: POLYESTER</t>
  </si>
  <si>
    <t>88377051054</t>
  </si>
  <si>
    <t>Vellux Plush Luxury FullQueen Blanke Trooper Blue Queen</t>
  </si>
  <si>
    <t>A1C7LG62180</t>
  </si>
  <si>
    <t>VELLUX/WESTPOINT HOME</t>
  </si>
  <si>
    <t>848742086209</t>
  </si>
  <si>
    <t>Lush Decor Serena 54 x 84 Single Window Gray ONE SIZE</t>
  </si>
  <si>
    <t>16T004308</t>
  </si>
  <si>
    <t>LT/PAS GRY</t>
  </si>
  <si>
    <t>848742013663</t>
  </si>
  <si>
    <t>Lush Decor Circle Dream 54 x 84 Window Turquoise 54x84</t>
  </si>
  <si>
    <t>C13663P13-000</t>
  </si>
  <si>
    <t>840444133830</t>
  </si>
  <si>
    <t>Chic Home Chic Home Teresa 3 Piece Queen Beige Queen</t>
  </si>
  <si>
    <t>QS3383-MC</t>
  </si>
  <si>
    <t>MED BROWN</t>
  </si>
  <si>
    <t>CHIC HOME DESIGN LLC</t>
  </si>
  <si>
    <t>FABRIC: POLYESTER MICROFIBER; FILL: POLYESTER</t>
  </si>
  <si>
    <t>784857901467</t>
  </si>
  <si>
    <t>Alpine Lodge Buffalo Check 3Pc King Comfort Redblack King</t>
  </si>
  <si>
    <t>YK699155</t>
  </si>
  <si>
    <t>REDOVERFLW</t>
  </si>
  <si>
    <t>IDEA NUOVA INC</t>
  </si>
  <si>
    <t>734737617131</t>
  </si>
  <si>
    <t>Sunham Fairfield Square Waverly Cotto White King</t>
  </si>
  <si>
    <t>735732232657</t>
  </si>
  <si>
    <t>VCNY Home VCNY Home Paris Night Reversib Taupe King</t>
  </si>
  <si>
    <t>PAR-5DV-KING-IN-TAUP</t>
  </si>
  <si>
    <t>86569396433</t>
  </si>
  <si>
    <t>Madison Park Madison Park Malia KingCalifo Blush KingCalifornia King</t>
  </si>
  <si>
    <t>MP12-7199</t>
  </si>
  <si>
    <t>32281186081</t>
  </si>
  <si>
    <t>Mickey Mouse MickeyMinnie Holiday 2-Pc. Tw Multi Twin</t>
  </si>
  <si>
    <t>JF18608</t>
  </si>
  <si>
    <t>735732791383</t>
  </si>
  <si>
    <t>VCNY Home Hudson Puff Paint With Blackou Taupe 38x96</t>
  </si>
  <si>
    <t>HUF-4PN-7696-IN-TAUP</t>
  </si>
  <si>
    <t>VICTORIA/TEXTILES FROM EUROPE</t>
  </si>
  <si>
    <t>BLACKOUT PANEL: 100% MICROFIBER/ PUFF PAINT PANEL: 85% MICROFIBER, 15% COTTON</t>
  </si>
  <si>
    <t>734737617483</t>
  </si>
  <si>
    <t>Sunham Fairfield Square Waverly 450 T Blush Queen</t>
  </si>
  <si>
    <t>COTTON</t>
  </si>
  <si>
    <t>885308345004</t>
  </si>
  <si>
    <t>Eclipse Arno Thermalayer Latte 52x95</t>
  </si>
  <si>
    <t>14704052095LAT</t>
  </si>
  <si>
    <t>LT/PAS BWN</t>
  </si>
  <si>
    <t>KEECO LLC/GRASSI ASSOCIATES INC</t>
  </si>
  <si>
    <t>783048021182</t>
  </si>
  <si>
    <t>Truly Soft Truly Soft Pleated White Full Light Blue FullQueen</t>
  </si>
  <si>
    <t>CS1969LBFQ-1500</t>
  </si>
  <si>
    <t>COMFORTER AND SHAM FACE AND BACK CLOTH IS 100% BRUSHED MICROFIBER POLYESTER WITH POLYESTER FILLING.</t>
  </si>
  <si>
    <t>783048038388</t>
  </si>
  <si>
    <t>Christian Siriano New York 60 x 70 Snow Leopard Luxury Grey And White 60x70</t>
  </si>
  <si>
    <t>TH2209GY-9100</t>
  </si>
  <si>
    <t>MED GRAY</t>
  </si>
  <si>
    <t>FAUX-FUR FABRIC: POLYESTER; POLYESTER FILL</t>
  </si>
  <si>
    <t>86569183293</t>
  </si>
  <si>
    <t>Intelligent Design Ashley Queen 8 Piece Comforter Blush Queen</t>
  </si>
  <si>
    <t>ID10-1691</t>
  </si>
  <si>
    <t>COMFORTER/SHAM: POLYESTER BRUSHED MICROFIBER FACE, POLYESTER BRUSHED SOLID MICROFIBER BACK, COMFORTER WITH POLYESTER FILLING; SHEET SET: POLYESTER BRUSHED MICROFIBER; DECORATIVE PILLOW: POLYESTER COVER WITH POLYESTER FILLING</t>
  </si>
  <si>
    <t>675716584825</t>
  </si>
  <si>
    <t>Madison Park Liquid Cotton FullQueen Blank Ivory FullQueen</t>
  </si>
  <si>
    <t>BL51N-0733</t>
  </si>
  <si>
    <t>86569227942</t>
  </si>
  <si>
    <t>Martha Stewart Collection Down Alternative Reverse to Pl Blue Moon King</t>
  </si>
  <si>
    <t>10028644KG</t>
  </si>
  <si>
    <t>BRIGHTBLUE</t>
  </si>
  <si>
    <t>MARTHA STEWART-EDI/E &amp; E CO LTD</t>
  </si>
  <si>
    <t>810001365424</t>
  </si>
  <si>
    <t>Southshore Fine Linens Southshore Fine Linens Classic Aqua FullQueen</t>
  </si>
  <si>
    <t>MF-COM-MLDY-F-Q</t>
  </si>
  <si>
    <t>SOUTHSHORE FINE LIN/BARGAIN ONLINE</t>
  </si>
  <si>
    <t>HIGH QUALITY 110 GSM MICROFIBER</t>
  </si>
  <si>
    <t>21864277940</t>
  </si>
  <si>
    <t>Avanti Galaxy Shower Curtain Silver</t>
  </si>
  <si>
    <t>11933H</t>
  </si>
  <si>
    <t>SILVER</t>
  </si>
  <si>
    <t>BATH RUGS/ACC</t>
  </si>
  <si>
    <t>AVANTI LINENS/AVANTI LINENS INC</t>
  </si>
  <si>
    <t>POLYESTER/NYLON</t>
  </si>
  <si>
    <t>86569183200</t>
  </si>
  <si>
    <t>Intelligent Design Ashley Full 8 Piece Comforter Blush Full</t>
  </si>
  <si>
    <t>ID10-1690</t>
  </si>
  <si>
    <t>783048021113</t>
  </si>
  <si>
    <t>Truly Soft Truly Soft Pleated White Twin White TwinTwin XL</t>
  </si>
  <si>
    <t>CS1969WTTX-1500</t>
  </si>
  <si>
    <t>86569295354</t>
  </si>
  <si>
    <t>Intelligent Design Raina Metallic Print 50 x 63 Navy 50x63</t>
  </si>
  <si>
    <t>ID40-1809</t>
  </si>
  <si>
    <t>100% POLYESTER MICROFIBER WITH 3 PASS FOAM BACK LINER</t>
  </si>
  <si>
    <t>877512005492</t>
  </si>
  <si>
    <t>Cathay Home Inc. Ultimate Luxury Reversible Mic Chocolate Twin</t>
  </si>
  <si>
    <t>108267-CHO-T</t>
  </si>
  <si>
    <t>DARK BROWN</t>
  </si>
  <si>
    <t>CATHAY HOME INC</t>
  </si>
  <si>
    <t>FAUX SHERPA</t>
  </si>
  <si>
    <t>191790045835</t>
  </si>
  <si>
    <t>Sharper Image T1000 ANTIBAC QN TAN White Queen</t>
  </si>
  <si>
    <t>71332103001AQT</t>
  </si>
  <si>
    <t>AQ TEXTILES</t>
  </si>
  <si>
    <t>191790042650</t>
  </si>
  <si>
    <t>AQ Textiles RestWell Antimicrobial 4 pc Ki Grey King</t>
  </si>
  <si>
    <t>25742104082AQT</t>
  </si>
  <si>
    <t>191790042599</t>
  </si>
  <si>
    <t>AQ Textiles RestWell Antimicrobial 4 pc Qu Grey Queen</t>
  </si>
  <si>
    <t>25742103082AQT</t>
  </si>
  <si>
    <t>22415039727</t>
  </si>
  <si>
    <t>AllerEase Hot Water Washable Zippered Ki White King</t>
  </si>
  <si>
    <t>AMERICAN TEXTILE</t>
  </si>
  <si>
    <t>733003540975</t>
  </si>
  <si>
    <t>Martha Stewart Collection Flannel Cotton 4-Pc. Queen She Happy Glamper Queen</t>
  </si>
  <si>
    <t>100124996QN</t>
  </si>
  <si>
    <t>MRTH STWRT WH</t>
  </si>
  <si>
    <t>MARTHA STEWART-EDI/BALTIC LINENS</t>
  </si>
  <si>
    <t>675716548902</t>
  </si>
  <si>
    <t>Madison Park Averil 50 x 84 Sheer Burnout White 50x84</t>
  </si>
  <si>
    <t>MP40-1050</t>
  </si>
  <si>
    <t>FABRIC: RAYON/POLYESTER</t>
  </si>
  <si>
    <t>191790041042</t>
  </si>
  <si>
    <t>AQ Textiles Camden Sateen 1250-Thread Coun White King</t>
  </si>
  <si>
    <t>25542104001AQT</t>
  </si>
  <si>
    <t>191790041073</t>
  </si>
  <si>
    <t>AQ Textiles Camden Sateen 1250-Thread Coun Ivory King</t>
  </si>
  <si>
    <t>25542104003AQT</t>
  </si>
  <si>
    <t>86569902917</t>
  </si>
  <si>
    <t>SunSmart Mirage 50 x 95 Damask Total Champagne 50x95</t>
  </si>
  <si>
    <t>SS40-0014</t>
  </si>
  <si>
    <t>LT/PAS YEL</t>
  </si>
  <si>
    <t>SHELL: POLYESTER;</t>
  </si>
  <si>
    <t>86569902955</t>
  </si>
  <si>
    <t>SunSmart Mirage 50 x 95 Damask Total Charcoal 50x95</t>
  </si>
  <si>
    <t>SS40-0020</t>
  </si>
  <si>
    <t>CHARCOAL</t>
  </si>
  <si>
    <t>86569902931</t>
  </si>
  <si>
    <t>SunSmart Mirage 50 x 95 Damask Total Grey 50x95</t>
  </si>
  <si>
    <t>SS40-0017</t>
  </si>
  <si>
    <t>735732886911</t>
  </si>
  <si>
    <t>VCNY Home Carmen 3-Pc. Ruched Queen Duve Taupe Queen</t>
  </si>
  <si>
    <t>CMN-3DV-QUEN-OV-TAUP</t>
  </si>
  <si>
    <t>86569024015</t>
  </si>
  <si>
    <t>Madison Park CLOSEOUT Madison Park Enza Fu Purple FullQueen</t>
  </si>
  <si>
    <t>MP12-5813</t>
  </si>
  <si>
    <t>DUVET/SHAM - 144TC COTTON PERCALE, 132TC COTTON/POLYESTER REVERSE</t>
  </si>
  <si>
    <t>675716455637</t>
  </si>
  <si>
    <t>Madison Park Madison Park Andora 50 x 84 Tan 50x84</t>
  </si>
  <si>
    <t>WIN40-098</t>
  </si>
  <si>
    <t>883893302891</t>
  </si>
  <si>
    <t>Eddie Bauer Eddie Bauer Twin Plaid Flannel Montlake Medium Red Twin</t>
  </si>
  <si>
    <t>DARK RED</t>
  </si>
  <si>
    <t>YOUNG CL HOME</t>
  </si>
  <si>
    <t>REVMAN INTERNATIONAL INC</t>
  </si>
  <si>
    <t>ALL COTTON</t>
  </si>
  <si>
    <t>191790037496</t>
  </si>
  <si>
    <t>AQ Textiles Ultra Cool 700-Thread Count 4- Grey Queen</t>
  </si>
  <si>
    <t>25002103082AQT</t>
  </si>
  <si>
    <t>86569318787</t>
  </si>
  <si>
    <t>Madison Park CLOSEOUT Madison Park Midnigh Blush FullQueen</t>
  </si>
  <si>
    <t>MP12-7060</t>
  </si>
  <si>
    <t>675716822477</t>
  </si>
  <si>
    <t>Madison Park Madison Park Quebec 20 x 20 Blue 20x20</t>
  </si>
  <si>
    <t>MP30-3407</t>
  </si>
  <si>
    <t>SHELL: POLYESTER; FILLING: COTTON</t>
  </si>
  <si>
    <t>675716976774</t>
  </si>
  <si>
    <t>Madison Park Madison Park Quebec 20 x 20 Navy 20x20</t>
  </si>
  <si>
    <t>MP30-4648</t>
  </si>
  <si>
    <t>675716822484</t>
  </si>
  <si>
    <t>Madison Park Madison Park Quebec 20 x 20 Khaki 20x20</t>
  </si>
  <si>
    <t>MP30-3408</t>
  </si>
  <si>
    <t>191790041356</t>
  </si>
  <si>
    <t>AQ Textiles Camden Sateen 1250-Thread Coun Ivory Queen</t>
  </si>
  <si>
    <t>25552103003AQT</t>
  </si>
  <si>
    <t>733003540821</t>
  </si>
  <si>
    <t>Martha Stewart Collection Flannel Cotton 4-Pc. Full Shee Ditsy Floral Full</t>
  </si>
  <si>
    <t>100124995FL</t>
  </si>
  <si>
    <t>86569902818</t>
  </si>
  <si>
    <t>SunSmart Mirage 50 x 84 Damask Total Grey 50x84</t>
  </si>
  <si>
    <t>SS40-0016</t>
  </si>
  <si>
    <t>BODY: POLYESTER;</t>
  </si>
  <si>
    <t>86569928313</t>
  </si>
  <si>
    <t>Madison Park Essentials Clay 3-Pc. FullQueen Comforte Grey FullQueen</t>
  </si>
  <si>
    <t>MPE10-649</t>
  </si>
  <si>
    <t>86569909848</t>
  </si>
  <si>
    <t>SunSmart Julie 50 x 84 Textured Botan Aqua 50x84</t>
  </si>
  <si>
    <t>SS40-0024</t>
  </si>
  <si>
    <t>733003194062</t>
  </si>
  <si>
    <t>Martha Stewart Collection Grey Plaid King 4-Piece Quilt Grey Plaid King</t>
  </si>
  <si>
    <t>100131819KG</t>
  </si>
  <si>
    <t>735732264856</t>
  </si>
  <si>
    <t>VCNY Home VCNY Home Palila Paisley 3 Pie Gray King</t>
  </si>
  <si>
    <t>PLL-3DV-KING-IN-GREY</t>
  </si>
  <si>
    <t>675716488291</t>
  </si>
  <si>
    <t>Madison Park Emilia 50 x 84 Lined Faux-Si Dusty Aqua 50x84</t>
  </si>
  <si>
    <t>WIN40-117</t>
  </si>
  <si>
    <t>83/84 SGL</t>
  </si>
  <si>
    <t>FAKE-SILK FABRIC AND LINING: POLYESTER</t>
  </si>
  <si>
    <t>675716573140</t>
  </si>
  <si>
    <t>Madison Park Emilia 50 x 84 Lined Faux-Si Pewter 50x84</t>
  </si>
  <si>
    <t>MP40-1299</t>
  </si>
  <si>
    <t>810001363031</t>
  </si>
  <si>
    <t>Southshore Fine Linens Southshore Fine Linens Lightwe Blue KingCalifornia King</t>
  </si>
  <si>
    <t>WB-QLT-K</t>
  </si>
  <si>
    <t>MICROFIBER</t>
  </si>
  <si>
    <t>733001083368</t>
  </si>
  <si>
    <t>Hotel Collection Contour Velvet Standard Sham, Champagne Standard Sham</t>
  </si>
  <si>
    <t>100099776SD</t>
  </si>
  <si>
    <t>HOTEL LUX BDG</t>
  </si>
  <si>
    <t>HOTEL BY CC-EDI/RWI/SARITA HANDA</t>
  </si>
  <si>
    <t>191790041011</t>
  </si>
  <si>
    <t>AQ Textiles Camden 1250 thread count 4 pc Gray Queen</t>
  </si>
  <si>
    <t>25542103427AQT</t>
  </si>
  <si>
    <t>848336072434</t>
  </si>
  <si>
    <t>Levtex Levtex Home Be Kind Decorative Natural 20x20</t>
  </si>
  <si>
    <t>L91200P-C</t>
  </si>
  <si>
    <t>LEVTEX BABY/LEVTEX LLC</t>
  </si>
  <si>
    <t>848336089692</t>
  </si>
  <si>
    <t>Levtex Levtex Home Coral All You Need White 20x20</t>
  </si>
  <si>
    <t>P96100B</t>
  </si>
  <si>
    <t>675716630829</t>
  </si>
  <si>
    <t>Madison Park Duke Ribbed 50 x 60 Faux-Fur Gray 50x60</t>
  </si>
  <si>
    <t>MP50-1593</t>
  </si>
  <si>
    <t>VALA78X7</t>
  </si>
  <si>
    <t>29927548709</t>
  </si>
  <si>
    <t>Archaeo Archaeo 52 x 63 Washed Cotto White 52x63</t>
  </si>
  <si>
    <t>S LICHTENBERG &amp; CO.</t>
  </si>
  <si>
    <t>191790040809</t>
  </si>
  <si>
    <t>AQ Textiles Camden Sateen 1250-Thread Coun Blue Full</t>
  </si>
  <si>
    <t>25542102002AQT</t>
  </si>
  <si>
    <t>LT/PASBLUE</t>
  </si>
  <si>
    <t>675716802257</t>
  </si>
  <si>
    <t>Madison Park Elma Oversized Reversible 60 Blue 60x70</t>
  </si>
  <si>
    <t>MP50-3254</t>
  </si>
  <si>
    <t>FACE: POLYESTER</t>
  </si>
  <si>
    <t>732994070867</t>
  </si>
  <si>
    <t>Charter Club Damask Designs Colorblock Euro Navy European Sham</t>
  </si>
  <si>
    <t>DMSPEUCNAV</t>
  </si>
  <si>
    <t>PIMA COTTON</t>
  </si>
  <si>
    <t>733003557829</t>
  </si>
  <si>
    <t>Martha Stewart Collection Lattice Faux Fur 50 X 60 Thr Grey Throw</t>
  </si>
  <si>
    <t>DEC PIL/THRWS</t>
  </si>
  <si>
    <t>MARTHA STEWART-EDI/JLA HOME</t>
  </si>
  <si>
    <t>733003557836</t>
  </si>
  <si>
    <t>Martha Stewart Collection Lattice Faux Fur 50 X 60 Thr Ivory Throw</t>
  </si>
  <si>
    <t>LT BEIGE</t>
  </si>
  <si>
    <t>635983499482</t>
  </si>
  <si>
    <t>Ella Jayne Overstuffed Plush MediumFirm White Queen</t>
  </si>
  <si>
    <t>BMI10321LQ</t>
  </si>
  <si>
    <t>QUEEN</t>
  </si>
  <si>
    <t>MADE IN USA</t>
  </si>
  <si>
    <t>SHELL: 220 THREAD COUNT POLYESTER MICROFIBER, FILL: 100% DOWN ALTERNATIVE FINE GEL FIBERS</t>
  </si>
  <si>
    <t>86569901880</t>
  </si>
  <si>
    <t>Madison Park Duke 20 Square Faux-Fur Decor Blush 20x20</t>
  </si>
  <si>
    <t>MP30-4963</t>
  </si>
  <si>
    <t>FAUX-FUR FACE: POLYESTER 300 GRAMS PER SQUARE METER; FAUX-FUR REVERSE: POLYESTER 180 GRAMS PER SQUARE METER; POLYESTER FILL</t>
  </si>
  <si>
    <t>732997629338</t>
  </si>
  <si>
    <t>Charter Club Damask Designs Honeycomb 50 x Blue Throw</t>
  </si>
  <si>
    <t>CHARTER CLUB/SHANGHAI SUNWIN IN</t>
  </si>
  <si>
    <t>628961003801</t>
  </si>
  <si>
    <t>Kensington Garden Warwick 400 Thread Count Sage Charcoal Queen</t>
  </si>
  <si>
    <t>JET10149</t>
  </si>
  <si>
    <t>DARK GRAY</t>
  </si>
  <si>
    <t>JETRICH CANADA LIMITED</t>
  </si>
  <si>
    <t>190714494742</t>
  </si>
  <si>
    <t>Lacourte Baby Cold Decorative Pillow Baby its cold 18x18</t>
  </si>
  <si>
    <t>1135823GREY20X20</t>
  </si>
  <si>
    <t>ENVOGUE INTERNATIONAL LLC</t>
  </si>
  <si>
    <t>732997233023</t>
  </si>
  <si>
    <t>Hotel Collection CLOSEOUT Hotel Collection Lin Gold European Sham</t>
  </si>
  <si>
    <t>100058744ER</t>
  </si>
  <si>
    <t>GOLD</t>
  </si>
  <si>
    <t>HOTEL BY CHARTER CLUB-MMG</t>
  </si>
  <si>
    <t>POLYESTER/RAYON/COTTON; FILL: POLYESTER</t>
  </si>
  <si>
    <t>27399035505</t>
  </si>
  <si>
    <t>Vellux Vellux FullQueen Blanket Blush FullQueen</t>
  </si>
  <si>
    <t>A1WX035505</t>
  </si>
  <si>
    <t>NYLON</t>
  </si>
  <si>
    <t>733004298196</t>
  </si>
  <si>
    <t>Martha Stewart Collection Plush Bath Robe Red ONE SIZE</t>
  </si>
  <si>
    <t>PB TOWELS</t>
  </si>
  <si>
    <t>733003738570</t>
  </si>
  <si>
    <t>Martha Stewart Collection Plaid Dog Figural Decorative P Green 16x16</t>
  </si>
  <si>
    <t>16X16</t>
  </si>
  <si>
    <t>MARTHA STEWART-MMG/MSLO-THROWS</t>
  </si>
  <si>
    <t>86569065810</t>
  </si>
  <si>
    <t>Intelligent Design Benny 4-Pc. TwinTwin XL Duvet White TwinTwin XL</t>
  </si>
  <si>
    <t>ID12-1345</t>
  </si>
  <si>
    <t>FABRIC: POLYESTER; POLYESTER FILL 85 GSM</t>
  </si>
  <si>
    <t>21864277957</t>
  </si>
  <si>
    <t>Avanti Galaxy 20 x 30 Bath Rug silver 20 x 30</t>
  </si>
  <si>
    <t>11933J</t>
  </si>
  <si>
    <t>COTTON; EXCLUSIVE OF DECORATION</t>
  </si>
  <si>
    <t>8889174270</t>
  </si>
  <si>
    <t>Tracy Porter Tracy Porter Josie 18x18 Deco Blue-multi 18x18</t>
  </si>
  <si>
    <t>TRACY PORTER/BRITANNICA HOME FASH</t>
  </si>
  <si>
    <t>100% COTTON SHELL, 95% WHITE DUCK FEATHER / 5% DUCK SEPARATE DOWN INSERT</t>
  </si>
  <si>
    <t>738980816716</t>
  </si>
  <si>
    <t>Popular Bath Popular Bath 3-Pc. Florence Ru Steel Blue ONE SIZE</t>
  </si>
  <si>
    <t>POPULAR BATH PRODUCTS</t>
  </si>
  <si>
    <t>ACRYLIC FACE; LATEX BACK</t>
  </si>
  <si>
    <t>810029192910</t>
  </si>
  <si>
    <t>HLC.me Lumino by HLC.me Perth Semi Sh Aqua 54x84</t>
  </si>
  <si>
    <t>D7-IHSK-H8DI</t>
  </si>
  <si>
    <t>SAKATTA INC</t>
  </si>
  <si>
    <t>732998429791</t>
  </si>
  <si>
    <t>Charter Club Damask Designs Blossom 14 x 2 Coral 14x24</t>
  </si>
  <si>
    <t>MMG-CHARTER CLUB/KAVSET EXPO</t>
  </si>
  <si>
    <t>54006630600</t>
  </si>
  <si>
    <t>Achim Sutton 52x84 TN Sage 52x84</t>
  </si>
  <si>
    <t>SUPN84SG12</t>
  </si>
  <si>
    <t>BRIGHT GRN</t>
  </si>
  <si>
    <t>ACHIM IMPORTING CO INC</t>
  </si>
  <si>
    <t>651896660115</t>
  </si>
  <si>
    <t>Birch Trail 3pc Decorative Throw and Pillo Red Ho Ho Ho 60x50</t>
  </si>
  <si>
    <t>M660115</t>
  </si>
  <si>
    <t>MORGAN HOME FASHIONS</t>
  </si>
  <si>
    <t>651896660108</t>
  </si>
  <si>
    <t>Birch Trail 3pc Decorative Throw and Pillo Grey Snowflake 60x50</t>
  </si>
  <si>
    <t>M660108</t>
  </si>
  <si>
    <t>651896660078</t>
  </si>
  <si>
    <t>Birch Trail 3pc Decorative Throw and Pillo Red Tartan Plaid 60x50</t>
  </si>
  <si>
    <t>M660078</t>
  </si>
  <si>
    <t>651896660092</t>
  </si>
  <si>
    <t>Birch Trail 3pc Decorative Throw and Pillo Navy Fair Isle 60x50</t>
  </si>
  <si>
    <t>M660092</t>
  </si>
  <si>
    <t>190714474614</t>
  </si>
  <si>
    <t>Lacourte Haunted Spiderwebs Decorative Black Decorative Pillow</t>
  </si>
  <si>
    <t>1134636BLKWT20X20</t>
  </si>
  <si>
    <t>BLACK</t>
  </si>
  <si>
    <t>783048019158</t>
  </si>
  <si>
    <t>Oceanfront Resort Oceanfront Resort Indienne Pai Navy And White No Size</t>
  </si>
  <si>
    <t>CF1963DP2-1400</t>
  </si>
  <si>
    <t>FACE AND BACK ARE 100% COTTON WITH 100% POLYESTER FILLING.</t>
  </si>
  <si>
    <t>733004500138</t>
  </si>
  <si>
    <t>Martha Stewart Collection Snowman Holiday Hooked 20 x 3 Ms Snowman Hh Rug No Size</t>
  </si>
  <si>
    <t>PB-BTH-RUG/AC</t>
  </si>
  <si>
    <t>MARTHA STEWART-EDI/MOHAWK</t>
  </si>
  <si>
    <t>54006630525</t>
  </si>
  <si>
    <t>Achim Panache 55x84 TN Tan 55x84</t>
  </si>
  <si>
    <t>PAPN84TN12</t>
  </si>
  <si>
    <t>732995007589</t>
  </si>
  <si>
    <t>Charter Club Damask Designs Sketch Floral 1 Blue 16x16</t>
  </si>
  <si>
    <t>MADE IN CHINA</t>
  </si>
  <si>
    <t>885308080646</t>
  </si>
  <si>
    <t>Eclipse Eclipse Thermaliner Panel Pair White ONE SIZE</t>
  </si>
  <si>
    <t>10332054X080WH</t>
  </si>
  <si>
    <t>54006623862</t>
  </si>
  <si>
    <t>Achim Ombre 50x63 SS Chocolate 50x63</t>
  </si>
  <si>
    <t>OMTU63CH06</t>
  </si>
  <si>
    <t>810076485386</t>
  </si>
  <si>
    <t>Caro Home Chateau Royale Holiday bath to Red Towel Set</t>
  </si>
  <si>
    <t>2BT2528T23501</t>
  </si>
  <si>
    <t>BATH TOWEL</t>
  </si>
  <si>
    <t>TOWELS</t>
  </si>
  <si>
    <t>CARO HOME LLC</t>
  </si>
  <si>
    <t>190714464899</t>
  </si>
  <si>
    <t>Lacourte Blessed Truck Multi colored De Multi Decorative Pillow</t>
  </si>
  <si>
    <t>1134005MULTI20X20</t>
  </si>
  <si>
    <t>190714464882</t>
  </si>
  <si>
    <t>Lacourte Family Teracotta Decorative Pi Teracotta Decorative Pillow</t>
  </si>
  <si>
    <t>1134003TRCOT20X20</t>
  </si>
  <si>
    <t>190714454357</t>
  </si>
  <si>
    <t>Lacourte Look To The Future 20 Square White 18x18</t>
  </si>
  <si>
    <t>1133288BLKWT20X20</t>
  </si>
  <si>
    <t>190714455040</t>
  </si>
  <si>
    <t>Lacourte Meera 14 x 24 Decorative Pil Navy 14x24</t>
  </si>
  <si>
    <t>1133351NAVY14X24</t>
  </si>
  <si>
    <t>16X24</t>
  </si>
  <si>
    <t>86569948762</t>
  </si>
  <si>
    <t>JLA Home Holiday plaid throw White Plaid 50x60</t>
  </si>
  <si>
    <t>MCH50-3561</t>
  </si>
  <si>
    <t>91116737324</t>
  </si>
  <si>
    <t>Sanders 5 Piece Sheet Set With Throw K Red Gingham King</t>
  </si>
  <si>
    <t>HLYSS4K</t>
  </si>
  <si>
    <t>COZY HOME FASHION/SANDER SALES ENT</t>
  </si>
  <si>
    <t>885308097262</t>
  </si>
  <si>
    <t>Eclipse Microfiber Thermaback Beige 42x84</t>
  </si>
  <si>
    <t>10708042X084BE</t>
  </si>
  <si>
    <t>190714421410</t>
  </si>
  <si>
    <t>Lacourte 20 x 20 Loads of Love Decora White 20x20</t>
  </si>
  <si>
    <t>1130991WHI20X20</t>
  </si>
  <si>
    <t>734737681613</t>
  </si>
  <si>
    <t>Sunham Lila 3-Pc. Reversible FullQue Multi FullQueen</t>
  </si>
  <si>
    <t>783048140159</t>
  </si>
  <si>
    <t>Pem America Monochromatic 2-Pc. Floral-Pri Black Twin</t>
  </si>
  <si>
    <t>CS3908TW-1540</t>
  </si>
  <si>
    <t>783048158192</t>
  </si>
  <si>
    <t>Pem America Grace 2-Pc. Reversible Stripe Multi Twin</t>
  </si>
  <si>
    <t>CS4197TW-1540</t>
  </si>
  <si>
    <t>783048154200</t>
  </si>
  <si>
    <t>Pem America Aaron 3-Pc. Reversible Plaid F Multiplaid FullQueen</t>
  </si>
  <si>
    <t>CS4165FQ-1540</t>
  </si>
  <si>
    <t>91116737317</t>
  </si>
  <si>
    <t>Sanders 5 Piece Sheet Set With Throw Q Red Gingham Queen</t>
  </si>
  <si>
    <t>HLYSS4Q</t>
  </si>
  <si>
    <t>21864272143</t>
  </si>
  <si>
    <t>Avanti Mr. or Mrs. 27 x 50 Bath Tow MRS</t>
  </si>
  <si>
    <t>013961WHT</t>
  </si>
  <si>
    <t>675716665364</t>
  </si>
  <si>
    <t>Madison Park 20 Square Ogee-Print Microlig Navy 20x20</t>
  </si>
  <si>
    <t>MP30-1850</t>
  </si>
  <si>
    <t>FABRIC AND FILL: POLYESTER</t>
  </si>
  <si>
    <t>675716665357</t>
  </si>
  <si>
    <t>Madison Park 20 Square Ogee-Print Microlig Tan 20x20</t>
  </si>
  <si>
    <t>MP30-1849</t>
  </si>
  <si>
    <t>847636047593</t>
  </si>
  <si>
    <t>Mytex Aster Floral 3-Pc. Reversible Navyyellow FullQueen</t>
  </si>
  <si>
    <t>ASTER FLORAL3PCFQ</t>
  </si>
  <si>
    <t>MYTEX LLC</t>
  </si>
  <si>
    <t>32281296858</t>
  </si>
  <si>
    <t>Disney Disney 3-Pc Slumer Set Marvel Spiderman</t>
  </si>
  <si>
    <t>JF29685</t>
  </si>
  <si>
    <t>25695930319</t>
  </si>
  <si>
    <t>Lauren Ralph Lauren AAFA Certified Pair of Standa White Standard</t>
  </si>
  <si>
    <t>93031-5679</t>
  </si>
  <si>
    <t>LAUREN RALPH LAUREN/HOLLANDER SLEEP</t>
  </si>
  <si>
    <t>81675602331</t>
  </si>
  <si>
    <t>BCBGMAXAZRIA BCBG Interlocked Ogee Tufted S Gray 72X72</t>
  </si>
  <si>
    <t>BCBG0007SW</t>
  </si>
  <si>
    <t>PBS HOME GOODS</t>
  </si>
  <si>
    <t>784857926033</t>
  </si>
  <si>
    <t>Pure Bath Melrose 2-Pc. Bath Rug Set Aqua No Size</t>
  </si>
  <si>
    <t>YK700143</t>
  </si>
  <si>
    <t>91116737300</t>
  </si>
  <si>
    <t>Sanders 5 Piece Sheet Set With Throw F Red Gingham Full</t>
  </si>
  <si>
    <t>HLYSS4F</t>
  </si>
  <si>
    <t>91116737225</t>
  </si>
  <si>
    <t>Sanders 5 Piece Sheet Set With Throw F Light Grey Snow Flurries Full</t>
  </si>
  <si>
    <t>HLYSS2F</t>
  </si>
  <si>
    <t>26865929430</t>
  </si>
  <si>
    <t>Elrene Jolie 52 x 108 Crushed Semi- Soft Blue 52x108</t>
  </si>
  <si>
    <t>21191SFB</t>
  </si>
  <si>
    <t>ELRENE HOME FASHIONS</t>
  </si>
  <si>
    <t>86569708175</t>
  </si>
  <si>
    <t>Premier Comfort Velvet to sherpa filled throw snowflake 50x60</t>
  </si>
  <si>
    <t>MCH50-3162</t>
  </si>
  <si>
    <t>86569708243</t>
  </si>
  <si>
    <t>Premier Comfort Velvet to sherpa filled throw peace joy 50x60</t>
  </si>
  <si>
    <t>MCH50-3164</t>
  </si>
  <si>
    <t>32281640477</t>
  </si>
  <si>
    <t>Disney Star Wars The Mandalorian Trop Star Wars Baby Yoda</t>
  </si>
  <si>
    <t>JF64047</t>
  </si>
  <si>
    <t>BEACHTOWEL</t>
  </si>
  <si>
    <t>633125168623</t>
  </si>
  <si>
    <t>Bath Bliss Bath Bliss Toilet Plunger in S Silver ONE SIZE</t>
  </si>
  <si>
    <t>4936-SS</t>
  </si>
  <si>
    <t>LAURA ASHLEY/KENNEDY INTL INC</t>
  </si>
  <si>
    <t>STAINLESS STEEL/POLYPROPYLENE</t>
  </si>
  <si>
    <t>54006623855</t>
  </si>
  <si>
    <t>Achim Ombre 46x42 SS Chocolate ONE SIZE</t>
  </si>
  <si>
    <t>OMWFVLCH06</t>
  </si>
  <si>
    <t>651896651069</t>
  </si>
  <si>
    <t>Infinity Home 2pk 18 square Faux Linen Deco Green No Size</t>
  </si>
  <si>
    <t>M651069</t>
  </si>
  <si>
    <t>12 SGL</t>
  </si>
  <si>
    <t>651896651083</t>
  </si>
  <si>
    <t>Infinity Home 2pk 18 square Faux Linen Deco Yellow No Size</t>
  </si>
  <si>
    <t>M651083</t>
  </si>
  <si>
    <t>651896651052</t>
  </si>
  <si>
    <t>Infinity Home 2pk 18 square Faux Linen Deco Blush No Size</t>
  </si>
  <si>
    <t>M651052</t>
  </si>
  <si>
    <t>651896652202</t>
  </si>
  <si>
    <t>Infinity Home 3 PC Decorative Pillows and Th Blue</t>
  </si>
  <si>
    <t>M652202</t>
  </si>
  <si>
    <t>86569539380</t>
  </si>
  <si>
    <t>Clean Spaces Antimicrobial filled throw ivo Grey Plaid Throw</t>
  </si>
  <si>
    <t>MCH50-2603</t>
  </si>
  <si>
    <t>86569539373</t>
  </si>
  <si>
    <t>Clean Spaces Antimicrobial filled throw ivo Ivory Plaid Throw</t>
  </si>
  <si>
    <t>MCH50-2602</t>
  </si>
  <si>
    <t>651896651076</t>
  </si>
  <si>
    <t>Infinity Home 2pk 18 square Faux Linen Deco Blue No Size</t>
  </si>
  <si>
    <t>M651076</t>
  </si>
  <si>
    <t>190714437886</t>
  </si>
  <si>
    <t>Lacourte Look To The Future Pillow Blush 14x24</t>
  </si>
  <si>
    <t>1132151BLUSH14X24</t>
  </si>
  <si>
    <t>LT/PASPINK</t>
  </si>
  <si>
    <t>733003475956</t>
  </si>
  <si>
    <t>Charter Club 2 Pack Decorative Pillows, Cre Buffalo Check Decorative Pillow</t>
  </si>
  <si>
    <t>CHARTER CLUB-EDI/JLA HOME</t>
  </si>
  <si>
    <t>733003475932</t>
  </si>
  <si>
    <t>Charter Club 2 Pack Decorative Pillows, Cre Grey Decorative Pillow</t>
  </si>
  <si>
    <t>733003475970</t>
  </si>
  <si>
    <t>Charter Club 2 Pack Decorative Pillows, Cre Red Decorative Pillow</t>
  </si>
  <si>
    <t>WINE</t>
  </si>
  <si>
    <t>91116736068</t>
  </si>
  <si>
    <t>Sanders Washed Microfiber Print 4 pc K Aqua Blue King</t>
  </si>
  <si>
    <t>SWMSSK</t>
  </si>
  <si>
    <t>91116736099</t>
  </si>
  <si>
    <t>Sanders Washed Microfiber Print 4 pc K White King</t>
  </si>
  <si>
    <t>91116736112</t>
  </si>
  <si>
    <t>Sanders Washed Microfiber Print 4 pc C Blue California King</t>
  </si>
  <si>
    <t>SWMSSC</t>
  </si>
  <si>
    <t>91116736136</t>
  </si>
  <si>
    <t>Sanders Washed Microfiber Print 4 pc C White California King</t>
  </si>
  <si>
    <t>91116735931</t>
  </si>
  <si>
    <t>Sanders Washed Microfiber Solid 4 pc C Navy California King</t>
  </si>
  <si>
    <t>PWMSSC</t>
  </si>
  <si>
    <t>DARK BLUE</t>
  </si>
  <si>
    <t>91116735870</t>
  </si>
  <si>
    <t>Sanders Washed Microfiber Solid 4 pc K Grey King</t>
  </si>
  <si>
    <t>PWMSSK</t>
  </si>
  <si>
    <t>86569604156</t>
  </si>
  <si>
    <t>JLA Home 2 pack pillow set Green Floral Decorative Pillow</t>
  </si>
  <si>
    <t>MCH32-2767</t>
  </si>
  <si>
    <t>735732405266</t>
  </si>
  <si>
    <t>Seventh Studio 3-Piece Guest Bath Napkin Set Yellow</t>
  </si>
  <si>
    <t>03B-BAT-3BTH-MA-YELO</t>
  </si>
  <si>
    <t>847636047586</t>
  </si>
  <si>
    <t>Mytex Aster Floral 2-Pc. Reversible Navyyellow Twin</t>
  </si>
  <si>
    <t>ASTER FLORAL2PCT</t>
  </si>
  <si>
    <t>733001712961</t>
  </si>
  <si>
    <t>Martha Stewart Collection Holiday Yarn-Dye Quilted King Red King Sham</t>
  </si>
  <si>
    <t>100104003KS</t>
  </si>
  <si>
    <t>42075574710</t>
  </si>
  <si>
    <t>Peri Home CLOSEOUT Peri Home Palm Tree Blush King Sham</t>
  </si>
  <si>
    <t>2-21330LBH</t>
  </si>
  <si>
    <t>PERI HOME/CHF INDUSTRIES</t>
  </si>
  <si>
    <t>34299004708</t>
  </si>
  <si>
    <t>Clorox Five-Pocket 72 x 72 Shower C Clear</t>
  </si>
  <si>
    <t>1N0-486C0-6701</t>
  </si>
  <si>
    <t>BY APPOINTMENT-EXCELL HOME FASHIONS</t>
  </si>
  <si>
    <t>91116737218</t>
  </si>
  <si>
    <t>Sanders 4 Piece Sheet Set With Throw T Light Grey Snow Flurries Twin</t>
  </si>
  <si>
    <t>HLYSS2T</t>
  </si>
  <si>
    <t>91116737331</t>
  </si>
  <si>
    <t>Sanders 4 Piece Sheet Set With Throw T White Pine Leaves Twin</t>
  </si>
  <si>
    <t>HLYSS5T</t>
  </si>
  <si>
    <t>733003940966</t>
  </si>
  <si>
    <t>Martha Stewart Collection Printed 200-Thread Count 3-Pc. Plaid Trees Twin</t>
  </si>
  <si>
    <t>100127878TW</t>
  </si>
  <si>
    <t>MS COL SHEETS</t>
  </si>
  <si>
    <t>MARTHA STEWART-EDI/RWI/NAISHAT</t>
  </si>
  <si>
    <t>29927431827</t>
  </si>
  <si>
    <t>Sun Zero Sun Zero Grant 54 x 63 Rod P Black 54x63</t>
  </si>
  <si>
    <t>GRANT</t>
  </si>
  <si>
    <t>91116736020</t>
  </si>
  <si>
    <t>Sanders Washed Microfiber Print 4 pc Q Aqua Blue Queen</t>
  </si>
  <si>
    <t>SWMSSQ</t>
  </si>
  <si>
    <t>91116736051</t>
  </si>
  <si>
    <t>Sanders Washed Microfiber Print 4 pc Q White Queen</t>
  </si>
  <si>
    <t>91116735849</t>
  </si>
  <si>
    <t>Sanders Washed Microfiber Solid 4 pc Q Blue Queen</t>
  </si>
  <si>
    <t>PWMSSQ</t>
  </si>
  <si>
    <t>21864271498</t>
  </si>
  <si>
    <t>Avanti Mr. Mrs. 16 x 30 Hand Towe MR</t>
  </si>
  <si>
    <t>HAND TOWEL</t>
  </si>
  <si>
    <t>MADE IN USA OF IMPORTED MATERIALS</t>
  </si>
  <si>
    <t>86569841988</t>
  </si>
  <si>
    <t>Premier Comfort Corded plush dec pillow Rust</t>
  </si>
  <si>
    <t>MCH30-3536</t>
  </si>
  <si>
    <t>RUSTCOPPER</t>
  </si>
  <si>
    <t>86569840349</t>
  </si>
  <si>
    <t>Premier Comfort Corded plush dec pillow Grey</t>
  </si>
  <si>
    <t>MCH30-3533</t>
  </si>
  <si>
    <t>680656163283</t>
  </si>
  <si>
    <t>Decopolitan Decopolitan 1-Inch Ball Telesc Bronze</t>
  </si>
  <si>
    <t>30409-BZ18</t>
  </si>
  <si>
    <t>DECOPOLITAN/BEME INTERNATIONAL LLC</t>
  </si>
  <si>
    <t>STEEL</t>
  </si>
  <si>
    <t>91116737447</t>
  </si>
  <si>
    <t>Sanders Kids Holiday Microfiber 4 pc F Baby Polar Full</t>
  </si>
  <si>
    <t>JHLSS4F</t>
  </si>
  <si>
    <t>21864406685</t>
  </si>
  <si>
    <t>Avanti Avanti Home For Holiday Bath T White No Size</t>
  </si>
  <si>
    <t>037521WHT</t>
  </si>
  <si>
    <t>735732238093</t>
  </si>
  <si>
    <t>Seventh Studio Cotton Geo Bath Rug Light Grey</t>
  </si>
  <si>
    <t>CGO-RUG-2032-MA-LIGR</t>
  </si>
  <si>
    <t>30"X23"</t>
  </si>
  <si>
    <t>91116736013</t>
  </si>
  <si>
    <t>Sanders Washed Microfiber Print 4 pc F White Full</t>
  </si>
  <si>
    <t>SWMSSF</t>
  </si>
  <si>
    <t>841297148781</t>
  </si>
  <si>
    <t>The Peanutshell PS by The Peanutshell Grey Far Grey Crib</t>
  </si>
  <si>
    <t>7197MFS2</t>
  </si>
  <si>
    <t>BRNOVERFLW</t>
  </si>
  <si>
    <t>CRIBBOTFIT</t>
  </si>
  <si>
    <t>PEANUTSHELL/FARALLON BRANDS INC</t>
  </si>
  <si>
    <t>735732775123</t>
  </si>
  <si>
    <t>Olivia Finn Astronaut Throw and Friend Blue Multi</t>
  </si>
  <si>
    <t>AT4-THR-5040-MA BLUE</t>
  </si>
  <si>
    <t>734737536005</t>
  </si>
  <si>
    <t>Sunham Comfort Soft 21 x 34 Memory Slate 21 x 34</t>
  </si>
  <si>
    <t>R4431AB152134</t>
  </si>
  <si>
    <t>POLYURETHANE FOAM; POLYVINYL CHLORIDE BACKING</t>
  </si>
  <si>
    <t>733001712978</t>
  </si>
  <si>
    <t>Martha Stewart Collection Holiday Yarn-Dye Quilted Stand Red Standard Sham</t>
  </si>
  <si>
    <t>100104003ST</t>
  </si>
  <si>
    <t>733001891956</t>
  </si>
  <si>
    <t>Martha Stewart Collection Floral Album Standard Sham, Cr White Standard Sham</t>
  </si>
  <si>
    <t>100115803ST</t>
  </si>
  <si>
    <t>733003086305</t>
  </si>
  <si>
    <t>Martha Stewart Collection Martha Stewart Tonal Snowflake Grey Bath Towels</t>
  </si>
  <si>
    <t>100124883BA</t>
  </si>
  <si>
    <t>21166102612</t>
  </si>
  <si>
    <t>Harper Lane Geo Decorative Throw Pillow Taupe 18x18</t>
  </si>
  <si>
    <t>UNIVERSAL HOME FASH/WELCOME INDUST</t>
  </si>
  <si>
    <t>91116720647</t>
  </si>
  <si>
    <t>Sanders 3 Piece Twin XL Size Printed M Tahiti Palm Twin XL</t>
  </si>
  <si>
    <t>PRBSSX</t>
  </si>
  <si>
    <t>91116720371</t>
  </si>
  <si>
    <t>Sanders 3 Piece Twin XL Size Solid Mic Light Blue Twin XL</t>
  </si>
  <si>
    <t>SLBSSX</t>
  </si>
  <si>
    <t>840037209898</t>
  </si>
  <si>
    <t>Mistletoe Farms 3 Piece Holiday Counter Top Se Santa</t>
  </si>
  <si>
    <t>3PCS7100WH-060</t>
  </si>
  <si>
    <t>NO COLOR</t>
  </si>
  <si>
    <t>INDECOR HOME LLC</t>
  </si>
  <si>
    <t>733002270521</t>
  </si>
  <si>
    <t>Martha Stewart Collection Americana Jacobean Quilted Sta Blue Standard Sham</t>
  </si>
  <si>
    <t>100115871ST</t>
  </si>
  <si>
    <t>841278174655</t>
  </si>
  <si>
    <t>Mon Lapin Silver Velvet Baby Blanket Silver 30x40</t>
  </si>
  <si>
    <t>NORTHPOINT TRADING INC</t>
  </si>
  <si>
    <t>732998305279</t>
  </si>
  <si>
    <t>Charter Club Damask Designs Meadow Cotton 3 Marina Standard</t>
  </si>
  <si>
    <t>100079922SD</t>
  </si>
  <si>
    <t>FABRIC: 100% COTTON; THREAD COUNT: 300</t>
  </si>
  <si>
    <t>91116737379</t>
  </si>
  <si>
    <t>Sanders Kids Holiday Microfiber 3 pc T Penguin Twin</t>
  </si>
  <si>
    <t>JHLSS1T</t>
  </si>
  <si>
    <t>91116737621</t>
  </si>
  <si>
    <t>Sanders 3 Piece Sheet Set Twin Size Woodland Twin</t>
  </si>
  <si>
    <t>HODSS4T</t>
  </si>
  <si>
    <t>91116737416</t>
  </si>
  <si>
    <t>Sanders Kids Holiday Microfiber 3 pc T Gift Under Tree Twin</t>
  </si>
  <si>
    <t>JHLSS3T</t>
  </si>
  <si>
    <t>86569759337</t>
  </si>
  <si>
    <t>Decor Studio Holiday Truck Lotion Pump Multi ONE SIZE</t>
  </si>
  <si>
    <t>MCH71-3319</t>
  </si>
  <si>
    <t>21864272150</t>
  </si>
  <si>
    <t>Avanti Mr. Mrs. 11 x 18 Fingertip MRS</t>
  </si>
  <si>
    <t>013964WHT</t>
  </si>
  <si>
    <t>FINGER TIP</t>
  </si>
  <si>
    <t>79465037241</t>
  </si>
  <si>
    <t>Grand Patrician Flatiron Flax Terry Washcloth White 13x21</t>
  </si>
  <si>
    <t>GH78037241</t>
  </si>
  <si>
    <t>WASH CLOTH</t>
  </si>
  <si>
    <t>WESTPOINT HOME INC</t>
  </si>
  <si>
    <t>25695409884</t>
  </si>
  <si>
    <t>Calvin Klein Grid Logo Down Alternative Sta White Standard</t>
  </si>
  <si>
    <t>40988-5679</t>
  </si>
  <si>
    <t>CALVIN KLEIN/HOLLANDER SLEEP &amp; DECO</t>
  </si>
  <si>
    <t>96675300354</t>
  </si>
  <si>
    <t>SensorPEDIC UltraLoft Standard Pillow White Standard</t>
  </si>
  <si>
    <t>SINGLE</t>
  </si>
  <si>
    <t>735732266997</t>
  </si>
  <si>
    <t>Olivia Finn Space Glow in the Dark Throw Blue</t>
  </si>
  <si>
    <t>GTD-THR-5060-MA BLUE</t>
  </si>
  <si>
    <t>766195416612</t>
  </si>
  <si>
    <t>Tommy Hilfiger Corded Logo StandardQueen Pil White StandardQueen</t>
  </si>
  <si>
    <t>TH1620175</t>
  </si>
  <si>
    <t>TOMMY HILFIGER HOME/HIMATSINGKA</t>
  </si>
  <si>
    <t>MADE IN USA AND IMPORTED</t>
  </si>
  <si>
    <t>200-THREAD COUNT COTTON COVER; SUPRALOFT® POLYESTER FILL</t>
  </si>
  <si>
    <t>735732011573</t>
  </si>
  <si>
    <t>VCNY Home High Pile Plush Throw Blush 50x60</t>
  </si>
  <si>
    <t>HP1-THR-5060-MA-BLUS</t>
  </si>
  <si>
    <t>735732247354</t>
  </si>
  <si>
    <t>Victoria Classics Fireside Sherpa Throw Ivory 50x60</t>
  </si>
  <si>
    <t>SP4-THR-5060-MC-IVOR</t>
  </si>
  <si>
    <t>810055637041</t>
  </si>
  <si>
    <t>Caro Home Majorca 16 x 26 Hand Towel White Hand Towels</t>
  </si>
  <si>
    <t>HT2176T1108</t>
  </si>
  <si>
    <t>LT/PAS GRN</t>
  </si>
  <si>
    <t>810055637102</t>
  </si>
  <si>
    <t>Caro Home Rhodes 16 x 26 Hand Towel Grey Hand Towels</t>
  </si>
  <si>
    <t>HT2162T1482</t>
  </si>
  <si>
    <t>79465807233</t>
  </si>
  <si>
    <t>Martex Martex Egyptian Cotton 13 x 1 White ONE SIZE</t>
  </si>
  <si>
    <t>GI81T260692</t>
  </si>
  <si>
    <t>100% EGYPTIAN COTTON</t>
  </si>
  <si>
    <t>79465807141</t>
  </si>
  <si>
    <t>Martex Martex Egyptian Cotton 13 x 1 Cream ONE SIZE</t>
  </si>
  <si>
    <t>86569504746</t>
  </si>
  <si>
    <t>Clean Spaces Clean Color Cotton Pyramid Jac Grey Hand Towels</t>
  </si>
  <si>
    <t>MCH73-2472</t>
  </si>
  <si>
    <t>86569504685</t>
  </si>
  <si>
    <t>Clean Spaces Clean Color Cotton Pyramid Jac Blue Hand Towels</t>
  </si>
  <si>
    <t>MCH73-2466</t>
  </si>
  <si>
    <t>848405022827</t>
  </si>
  <si>
    <t>Mainstream International Inc. Mainstream Salem 16 x 26 Han Orange Hand Towels</t>
  </si>
  <si>
    <t>MI200000635</t>
  </si>
  <si>
    <t>MED ORANGE</t>
  </si>
  <si>
    <t>MAINSTREAM INTERNATIONAL INC</t>
  </si>
  <si>
    <t>726895251852</t>
  </si>
  <si>
    <t>Hotel Collection Sculpted 13 Square Cotton Was Sandstone Washcloths</t>
  </si>
  <si>
    <t>HTLSLPWSTN</t>
  </si>
  <si>
    <t>MMG-HOTEL BY CC</t>
  </si>
  <si>
    <t>706257404249</t>
  </si>
  <si>
    <t>Hotel Collection Sculpted 13 Square Cotton Was Steel Washcloths</t>
  </si>
  <si>
    <t>HTLSLPWSTE</t>
  </si>
  <si>
    <t>706257404263</t>
  </si>
  <si>
    <t>Hotel Collection Sculpted 13 Square Cotton Was Vapor Washcloths</t>
  </si>
  <si>
    <t>HTLSLPWVAP</t>
  </si>
  <si>
    <t>734737473218</t>
  </si>
  <si>
    <t>Lacoste Home Legend 13 Square Supima Cotto Sand Washcloths</t>
  </si>
  <si>
    <t>T16825N621313</t>
  </si>
  <si>
    <t>LACOSTE/SUNHAM HOME FASHIONS</t>
  </si>
  <si>
    <t>SUPIMA COTTON LOOPS/ COTTON GROUND</t>
  </si>
  <si>
    <t>732998302209</t>
  </si>
  <si>
    <t>Hotel Collection Ultimate MicroCotton Mosaic 13 Oat Combo Washcloths</t>
  </si>
  <si>
    <t>FABRIC: 100% COTTON</t>
  </si>
  <si>
    <t>651896650994</t>
  </si>
  <si>
    <t>Infinity Home Novelty Print Fleece Throws Paris Vacation 50x60</t>
  </si>
  <si>
    <t>M650994</t>
  </si>
  <si>
    <t>651896650970</t>
  </si>
  <si>
    <t>Infinity Home Novelty Print Fleece Throws Blue Stripe 50x60</t>
  </si>
  <si>
    <t>M650970</t>
  </si>
  <si>
    <t>DARK BEIGE</t>
  </si>
  <si>
    <t>810055637058</t>
  </si>
  <si>
    <t>Caro Home Majorca 12 x 12 Wash Towel White Washcloths</t>
  </si>
  <si>
    <t>WT2176T1108</t>
  </si>
  <si>
    <t>86569504791</t>
  </si>
  <si>
    <t>Clean Spaces Clean Color Cotton Pyramid Jac Dark Blue Washcloths</t>
  </si>
  <si>
    <t>MCH73-2476</t>
  </si>
  <si>
    <t>732998300007</t>
  </si>
  <si>
    <t>Charter Club Elite Cotton Lattice 13 x 13 Smoke Washcloths</t>
  </si>
  <si>
    <t>732996452760</t>
  </si>
  <si>
    <t>Charter Club Elite Scroll Paisley Cotton 13 Desert Washcloths</t>
  </si>
  <si>
    <t>732998303022</t>
  </si>
  <si>
    <t>Hotel Collection Ultimate MicroCotton 13 x 13 Muted Clay Washcloths</t>
  </si>
  <si>
    <t>HTLMCWCLY</t>
  </si>
  <si>
    <t>734737645448</t>
  </si>
  <si>
    <t>Sunham Soft Spun Cotton Hand Towel Yellow Hand Towels</t>
  </si>
  <si>
    <t>T18437Y251626</t>
  </si>
  <si>
    <t>806222684505</t>
  </si>
  <si>
    <t>Divatex Divatex Quick Dry 16 x 26 Ha Blue Hand Towels</t>
  </si>
  <si>
    <t>2750118-HD-B1-O120</t>
  </si>
  <si>
    <t>DIVATEX/HIMATSINGKA AMERICA</t>
  </si>
  <si>
    <t>86569472830</t>
  </si>
  <si>
    <t>Serta Serta Water Resistance Heated White Queen</t>
  </si>
  <si>
    <t>ST55-0117</t>
  </si>
  <si>
    <t>86569253217</t>
  </si>
  <si>
    <t>Intelligent Design Intelligent Design Malea Comfo Blush FullQueen</t>
  </si>
  <si>
    <t>ID10-1824</t>
  </si>
  <si>
    <t>86569267504</t>
  </si>
  <si>
    <t>Madison Park Blaire 7-Pc. Faux-Silk King Co Tan King</t>
  </si>
  <si>
    <t>MP10-6579</t>
  </si>
  <si>
    <t>86569516404</t>
  </si>
  <si>
    <t>Madison Park Madison Park Interval 7 Piece Gray California King</t>
  </si>
  <si>
    <t>MP10-7419</t>
  </si>
  <si>
    <t>735732310270</t>
  </si>
  <si>
    <t>VCNY Home VCNY Home Nina Embossed Comfor Gray King</t>
  </si>
  <si>
    <t>N11-3CS-KING-IN-GREY</t>
  </si>
  <si>
    <t>735732874628</t>
  </si>
  <si>
    <t>VCNY Home VCNY Home Micromink Sherpa Com Black Queen</t>
  </si>
  <si>
    <t>MMK-3CS-QUEN-IN-BLAC</t>
  </si>
  <si>
    <t>QNCOMFORTE</t>
  </si>
  <si>
    <t>86569496546</t>
  </si>
  <si>
    <t>Clean Spaces Clean Spaces Oakley KingCalif Indigo, White KingCalifornia King</t>
  </si>
  <si>
    <t>LCN12-0128</t>
  </si>
  <si>
    <t>86569267542</t>
  </si>
  <si>
    <t>Madison Park Blaire 7-Pc. Faux-Silk Califor Tan California King</t>
  </si>
  <si>
    <t>MP10-6580</t>
  </si>
  <si>
    <t>784857901511</t>
  </si>
  <si>
    <t>Alpine Lodge Blakelow 3Pc FullQueen Comfor Multi FullQueen</t>
  </si>
  <si>
    <t>YK699160</t>
  </si>
  <si>
    <t>ASSORTED</t>
  </si>
  <si>
    <t>843601108740</t>
  </si>
  <si>
    <t>Addy Home Fashions Addy Home Fashions Soft Down A Gray KingCalifornia King</t>
  </si>
  <si>
    <t>MMFQLTCFTRK</t>
  </si>
  <si>
    <t>PREMIER CONSULTING SERVICES</t>
  </si>
  <si>
    <t>784857901450</t>
  </si>
  <si>
    <t>Alpine Lodge Buffalo Check 3Pc FullQueen C Redblack FullQueen</t>
  </si>
  <si>
    <t>YK699154</t>
  </si>
  <si>
    <t>813538023720</t>
  </si>
  <si>
    <t>CHELSEA 8PC</t>
  </si>
  <si>
    <t>784857937022</t>
  </si>
  <si>
    <t>Idea Nuova 17 pc Holiday Poinsetta Bath B Multi No Size</t>
  </si>
  <si>
    <t>YK700506</t>
  </si>
  <si>
    <t>733004151354</t>
  </si>
  <si>
    <t>DRAFT - Martha Stewart Collect Candyland Throw</t>
  </si>
  <si>
    <t>190714464905</t>
  </si>
  <si>
    <t>Lacourte Fern Forest Tangerine Decorati Tangerine Decorative Pillow</t>
  </si>
  <si>
    <t>1134006TANG20X20</t>
  </si>
  <si>
    <t>ORANGE</t>
  </si>
  <si>
    <t>86569948779</t>
  </si>
  <si>
    <t>JLA Home Holiday plaid throw Red Plaid 50x60</t>
  </si>
  <si>
    <t>MCH50-3562</t>
  </si>
  <si>
    <t>840970172877</t>
  </si>
  <si>
    <t>SW SOLID SS 6PC K BS</t>
  </si>
  <si>
    <t>SWSS6-001-K-BS</t>
  </si>
  <si>
    <t>KING SETS</t>
  </si>
  <si>
    <t>840970172853</t>
  </si>
  <si>
    <t>SW SOLID SS 6PC K CR</t>
  </si>
  <si>
    <t>SWSS6-001-K-CR</t>
  </si>
  <si>
    <t>784857883909</t>
  </si>
  <si>
    <t>HEATHER CLOUD RUG SET</t>
  </si>
  <si>
    <t>K698287</t>
  </si>
  <si>
    <t>734737686540</t>
  </si>
  <si>
    <t>Sunham Holiday Toile 2-Pc. Twin Comfo Green Twin</t>
  </si>
  <si>
    <t>91116736082</t>
  </si>
  <si>
    <t>Sanders Washed Microfiber Print 4 pc K Grey King</t>
  </si>
  <si>
    <t>91116736129</t>
  </si>
  <si>
    <t>Sanders Washed Microfiber Print 4 pc C Grey California King</t>
  </si>
  <si>
    <t>91116735924</t>
  </si>
  <si>
    <t>Sanders Washed Microfiber Solid 4 pc C Blue California King</t>
  </si>
  <si>
    <t>91116735887</t>
  </si>
  <si>
    <t>Sanders Washed Microfiber Solid 4 pc K Blue King</t>
  </si>
  <si>
    <t>91116735917</t>
  </si>
  <si>
    <t>Sanders Washed Microfiber Solid 4 pc C Grey California King</t>
  </si>
  <si>
    <t>91116735900</t>
  </si>
  <si>
    <t>Sanders Washed Microfiber Solid 4 pc C Aqua California King</t>
  </si>
  <si>
    <t>840970172815</t>
  </si>
  <si>
    <t>SW SOLID SS 6PC Q BS</t>
  </si>
  <si>
    <t>SWSS6-001-Q-BS</t>
  </si>
  <si>
    <t>QUEEN SETS</t>
  </si>
  <si>
    <t>840970172822</t>
  </si>
  <si>
    <t>SW SOLID SS 6PC Q AQ</t>
  </si>
  <si>
    <t>SWSS6-001-Q-AQ</t>
  </si>
  <si>
    <t>194169008219</t>
  </si>
  <si>
    <t>MYTHOLOGY 60X70 WOVEN ET</t>
  </si>
  <si>
    <t>194169008226</t>
  </si>
  <si>
    <t>DARKORANGE</t>
  </si>
  <si>
    <t>194169008158</t>
  </si>
  <si>
    <t>DRAFT - Thales 60x70 Throw Dune</t>
  </si>
  <si>
    <t>194169008165</t>
  </si>
  <si>
    <t>DRAFT - Thales 60x70 Throw Auburn</t>
  </si>
  <si>
    <t>840970172730</t>
  </si>
  <si>
    <t>SW SOLID SS 6PC F CR</t>
  </si>
  <si>
    <t>SWSS6-001-F-CR</t>
  </si>
  <si>
    <t>REGFULLSHT</t>
  </si>
  <si>
    <t>840970172723</t>
  </si>
  <si>
    <t>SW SOLID SS 6PC F WH</t>
  </si>
  <si>
    <t>SWSS6-001-F-WH</t>
  </si>
  <si>
    <t>840970172754</t>
  </si>
  <si>
    <t>SW SOLID SS 6PC F BS</t>
  </si>
  <si>
    <t>SWSS6-001-F-BS</t>
  </si>
  <si>
    <t>840970172778</t>
  </si>
  <si>
    <t>SW SOLID SS 6PC F BU</t>
  </si>
  <si>
    <t>SWSS6-001-F-BU</t>
  </si>
  <si>
    <t>840970172747</t>
  </si>
  <si>
    <t>SW SOLID SS 6PC F GR</t>
  </si>
  <si>
    <t>SWSS6-001-F-GR</t>
  </si>
  <si>
    <t>86268200345</t>
  </si>
  <si>
    <t>XMAS NIGHT PILLOW</t>
  </si>
  <si>
    <t>19-28576MUL</t>
  </si>
  <si>
    <t>ARLEE HOME FASHIONS</t>
  </si>
  <si>
    <t>91116736044</t>
  </si>
  <si>
    <t>Sanders Washed Microfiber Print 4 pc Q Grey Queen</t>
  </si>
  <si>
    <t>91116737423</t>
  </si>
  <si>
    <t>Sanders Kids Holiday Microfiber 4 pc F Gift Under Tree Full</t>
  </si>
  <si>
    <t>JHLSS3F</t>
  </si>
  <si>
    <t>91116737386</t>
  </si>
  <si>
    <t>Sanders Kids Holiday Microfiber 4 pc F Penguin Full</t>
  </si>
  <si>
    <t>JHLSS1F</t>
  </si>
  <si>
    <t>86268200321</t>
  </si>
  <si>
    <t>CHRISTMAS CAMPER PILLOW</t>
  </si>
  <si>
    <t>19-28574MUL</t>
  </si>
  <si>
    <t>91116737430</t>
  </si>
  <si>
    <t>Sanders Kids Holiday Microfiber 3 pc T Baby Polar Twin</t>
  </si>
  <si>
    <t>JHLSS4T</t>
  </si>
  <si>
    <t>840970172716</t>
  </si>
  <si>
    <t>SW SOLID SS 6PC T BU</t>
  </si>
  <si>
    <t>SWSS6-001-T-BU</t>
  </si>
  <si>
    <t>REGTWINSHT</t>
  </si>
  <si>
    <t>733002968145</t>
  </si>
  <si>
    <t>Martha Stewart Collection Martha Stewart Carved Leaves F Rust Fingertip Towels</t>
  </si>
  <si>
    <t>100124872TP</t>
  </si>
  <si>
    <t>733004814389</t>
  </si>
  <si>
    <t>Martha Stewart Collection x Pink Hand Towels</t>
  </si>
  <si>
    <t>110124872HA</t>
  </si>
  <si>
    <t>733004638602</t>
  </si>
  <si>
    <t>Martha Stewart Collection Hearts Embroidered Hand Towel, White Comb Hand Towels</t>
  </si>
  <si>
    <t>111124870HA</t>
  </si>
  <si>
    <t>733002981809</t>
  </si>
  <si>
    <t>Martha Stewart Collection Martha Stewart Truck Hand Towe White Combo Hand Towels</t>
  </si>
  <si>
    <t>100124874HA</t>
  </si>
  <si>
    <t>733002653218</t>
  </si>
  <si>
    <t>Home Design Soft Solutions Cotton 27 x 54 Oat Bath Towels</t>
  </si>
  <si>
    <t>86569504654</t>
  </si>
  <si>
    <t>Clean Spaces Clean Color Cotton Pyramid Jac Green Hand Towels</t>
  </si>
  <si>
    <t>MCH73-2463</t>
  </si>
  <si>
    <t>810055637171</t>
  </si>
  <si>
    <t>Caro Home Zebra Stripe 12 x 12 Wash To Charcoal Washcloths</t>
  </si>
  <si>
    <t>WT2431T1204</t>
  </si>
  <si>
    <t>810055637089</t>
  </si>
  <si>
    <t>Caro Home Madagascar 12 x 12 Wash Towe Neutral Washcloths</t>
  </si>
  <si>
    <t>WT1032T1411</t>
  </si>
  <si>
    <t>BGEOVERFLW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</si>
</sst>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_);[Red]\(&quot;$&quot;#,##0.00\)"/>
  </numFmts>
  <fonts count="7" x14ac:knownFonts="1">
    <font>
      <sz val="11"/>
      <color theme="1"/>
      <name val="Calibri"/>
      <scheme val="minor"/>
    </font>
    <font>
      <b/>
      <sz val="9"/>
      <color theme="1"/>
      <name val="Arial"/>
    </font>
    <font>
      <sz val="11"/>
      <color theme="1"/>
      <name val="Calibri"/>
    </font>
    <font>
      <sz val="9"/>
      <color theme="1"/>
      <name val="Arial"/>
    </font>
    <font>
      <b/>
      <sz val="9"/>
      <color rgb="FFFF0000"/>
      <name val="Arial"/>
    </font>
    <font>
      <sz val="11"/>
      <name val="Calibri"/>
    </font>
    <font>
      <u/>
      <sz val="9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00CC99"/>
        <bgColor rgb="FF00CC99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1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11</xdr:row>
      <xdr:rowOff>66675</xdr:rowOff>
    </xdr:from>
    <xdr:ext cx="3143250" cy="5810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99"/>
  </sheetPr>
  <dimension ref="A1:Z1000"/>
  <sheetViews>
    <sheetView tabSelected="1" workbookViewId="0">
      <selection activeCell="L1" sqref="L1:L1048576"/>
    </sheetView>
  </sheetViews>
  <sheetFormatPr defaultColWidth="14.42578125" defaultRowHeight="15" customHeight="1" x14ac:dyDescent="0.25"/>
  <cols>
    <col min="1" max="1" width="9.85546875" customWidth="1"/>
    <col min="2" max="2" width="37.140625" customWidth="1"/>
    <col min="3" max="3" width="9.5703125" customWidth="1"/>
    <col min="4" max="4" width="10.140625" customWidth="1"/>
    <col min="5" max="6" width="9.5703125" customWidth="1"/>
    <col min="7" max="7" width="6.140625" customWidth="1"/>
    <col min="8" max="8" width="10.85546875" customWidth="1"/>
    <col min="9" max="9" width="13.140625" customWidth="1"/>
    <col min="10" max="10" width="7.28515625" customWidth="1"/>
    <col min="11" max="11" width="10.140625" customWidth="1"/>
    <col min="12" max="12" width="10.5703125" customWidth="1"/>
    <col min="13" max="13" width="13.28515625" customWidth="1"/>
    <col min="14" max="14" width="8" customWidth="1"/>
    <col min="15" max="26" width="8.7109375" customWidth="1"/>
  </cols>
  <sheetData>
    <row r="1" spans="1:26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0" t="s">
        <v>10</v>
      </c>
      <c r="B2" s="23">
        <v>13999974</v>
      </c>
      <c r="C2" s="3">
        <v>13990415</v>
      </c>
      <c r="D2" s="20" t="s">
        <v>11</v>
      </c>
      <c r="E2" s="20" t="s">
        <v>12</v>
      </c>
      <c r="F2" s="3">
        <v>1</v>
      </c>
      <c r="G2" s="3">
        <v>19</v>
      </c>
      <c r="H2" s="4">
        <v>280</v>
      </c>
      <c r="I2" s="5">
        <v>1693.6</v>
      </c>
      <c r="J2" s="4">
        <v>40</v>
      </c>
      <c r="K2" s="6"/>
      <c r="L2" s="6"/>
      <c r="M2" s="7"/>
      <c r="N2" s="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1"/>
      <c r="B3" s="21"/>
      <c r="C3" s="3">
        <v>13997875</v>
      </c>
      <c r="D3" s="21"/>
      <c r="E3" s="21"/>
      <c r="F3" s="3">
        <v>1</v>
      </c>
      <c r="G3" s="3">
        <v>10</v>
      </c>
      <c r="H3" s="4">
        <v>256</v>
      </c>
      <c r="I3" s="5">
        <v>2957.35</v>
      </c>
      <c r="J3" s="4">
        <v>65</v>
      </c>
      <c r="K3" s="6"/>
      <c r="L3" s="6"/>
      <c r="M3" s="7"/>
      <c r="N3" s="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1"/>
      <c r="B4" s="21"/>
      <c r="C4" s="3">
        <v>13998718</v>
      </c>
      <c r="D4" s="21"/>
      <c r="E4" s="21"/>
      <c r="F4" s="3">
        <v>1</v>
      </c>
      <c r="G4" s="3">
        <v>9</v>
      </c>
      <c r="H4" s="4">
        <v>345</v>
      </c>
      <c r="I4" s="5">
        <v>3784.64</v>
      </c>
      <c r="J4" s="4">
        <v>136</v>
      </c>
      <c r="K4" s="6"/>
      <c r="L4" s="6"/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21"/>
      <c r="B5" s="21"/>
      <c r="C5" s="3">
        <v>13986913</v>
      </c>
      <c r="D5" s="21"/>
      <c r="E5" s="21"/>
      <c r="F5" s="3">
        <v>1</v>
      </c>
      <c r="G5" s="3">
        <v>10</v>
      </c>
      <c r="H5" s="4">
        <v>364</v>
      </c>
      <c r="I5" s="5">
        <v>3806.23</v>
      </c>
      <c r="J5" s="4">
        <v>79</v>
      </c>
      <c r="K5" s="6"/>
      <c r="L5" s="6"/>
      <c r="M5" s="7"/>
      <c r="N5" s="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1"/>
      <c r="B6" s="21"/>
      <c r="C6" s="3">
        <v>13988589</v>
      </c>
      <c r="D6" s="21"/>
      <c r="E6" s="21"/>
      <c r="F6" s="3">
        <v>1</v>
      </c>
      <c r="G6" s="3">
        <v>14</v>
      </c>
      <c r="H6" s="4">
        <v>470</v>
      </c>
      <c r="I6" s="5">
        <v>3623.99</v>
      </c>
      <c r="J6" s="4">
        <v>101</v>
      </c>
      <c r="K6" s="6"/>
      <c r="L6" s="6"/>
      <c r="M6" s="7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1"/>
      <c r="B7" s="21"/>
      <c r="C7" s="3">
        <v>13988693</v>
      </c>
      <c r="D7" s="21"/>
      <c r="E7" s="21"/>
      <c r="F7" s="3">
        <v>1</v>
      </c>
      <c r="G7" s="3">
        <v>10</v>
      </c>
      <c r="H7" s="4">
        <v>383</v>
      </c>
      <c r="I7" s="5">
        <v>3421.58</v>
      </c>
      <c r="J7" s="4">
        <v>81</v>
      </c>
      <c r="K7" s="6"/>
      <c r="L7" s="6"/>
      <c r="M7" s="7"/>
      <c r="N7" s="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1"/>
      <c r="B8" s="21"/>
      <c r="C8" s="3">
        <v>13988761</v>
      </c>
      <c r="D8" s="21"/>
      <c r="E8" s="21"/>
      <c r="F8" s="3">
        <v>1</v>
      </c>
      <c r="G8" s="3">
        <v>10</v>
      </c>
      <c r="H8" s="4">
        <v>326</v>
      </c>
      <c r="I8" s="5">
        <v>2619.23</v>
      </c>
      <c r="J8" s="4">
        <v>78</v>
      </c>
      <c r="K8" s="6"/>
      <c r="L8" s="6"/>
      <c r="M8" s="7"/>
      <c r="N8" s="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1"/>
      <c r="B9" s="21"/>
      <c r="C9" s="3">
        <v>13988790</v>
      </c>
      <c r="D9" s="21"/>
      <c r="E9" s="21"/>
      <c r="F9" s="3">
        <v>1</v>
      </c>
      <c r="G9" s="3">
        <v>11</v>
      </c>
      <c r="H9" s="4">
        <v>342</v>
      </c>
      <c r="I9" s="5">
        <v>2031.5</v>
      </c>
      <c r="J9" s="4">
        <v>50</v>
      </c>
      <c r="K9" s="6"/>
      <c r="L9" s="6"/>
      <c r="M9" s="7"/>
      <c r="N9" s="7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1"/>
      <c r="B10" s="21"/>
      <c r="C10" s="3">
        <v>13999901</v>
      </c>
      <c r="D10" s="21"/>
      <c r="E10" s="21"/>
      <c r="F10" s="3">
        <v>1</v>
      </c>
      <c r="G10" s="3">
        <v>15</v>
      </c>
      <c r="H10" s="4">
        <v>350</v>
      </c>
      <c r="I10" s="5">
        <v>2642.04</v>
      </c>
      <c r="J10" s="4">
        <v>96</v>
      </c>
      <c r="K10" s="6"/>
      <c r="L10" s="6"/>
      <c r="M10" s="7"/>
      <c r="N10" s="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2"/>
      <c r="B11" s="22"/>
      <c r="C11" s="3">
        <v>13999974</v>
      </c>
      <c r="D11" s="22"/>
      <c r="E11" s="22"/>
      <c r="F11" s="3">
        <v>1</v>
      </c>
      <c r="G11" s="3">
        <v>17</v>
      </c>
      <c r="H11" s="4">
        <v>568</v>
      </c>
      <c r="I11" s="5">
        <v>8578.86</v>
      </c>
      <c r="J11" s="4">
        <v>116</v>
      </c>
      <c r="K11" s="6"/>
      <c r="L11" s="6"/>
      <c r="M11" s="7"/>
      <c r="N11" s="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8"/>
      <c r="B12" s="9"/>
      <c r="C12" s="9"/>
      <c r="D12" s="8"/>
      <c r="E12" s="1" t="s">
        <v>13</v>
      </c>
      <c r="F12" s="10">
        <v>10</v>
      </c>
      <c r="G12" s="10">
        <v>125</v>
      </c>
      <c r="H12" s="1">
        <v>3684</v>
      </c>
      <c r="I12" s="11">
        <v>35159.019999999997</v>
      </c>
      <c r="J12" s="1">
        <v>842</v>
      </c>
      <c r="K12" s="12"/>
      <c r="L12" s="12"/>
      <c r="M12" s="7"/>
      <c r="N12" s="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B14" s="13"/>
      <c r="C14" s="13"/>
      <c r="D14" s="1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4"/>
      <c r="B15" s="8"/>
      <c r="C15" s="15"/>
      <c r="D15" s="1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x14ac:dyDescent="0.25">
      <c r="A17" s="1" t="s">
        <v>14</v>
      </c>
      <c r="B17" s="1" t="s">
        <v>15</v>
      </c>
      <c r="C17" s="1" t="s">
        <v>16</v>
      </c>
      <c r="D17" s="1" t="s">
        <v>17</v>
      </c>
      <c r="E17" s="1" t="s">
        <v>18</v>
      </c>
      <c r="F17" s="1" t="s">
        <v>19</v>
      </c>
      <c r="G17" s="1" t="s">
        <v>20</v>
      </c>
      <c r="H17" s="1" t="s">
        <v>21</v>
      </c>
      <c r="I17" s="1" t="s">
        <v>22</v>
      </c>
      <c r="J17" s="1" t="s">
        <v>23</v>
      </c>
      <c r="K17" s="1" t="s">
        <v>24</v>
      </c>
      <c r="L17" s="1" t="s">
        <v>25</v>
      </c>
      <c r="M17" s="1" t="s">
        <v>26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72" x14ac:dyDescent="0.25">
      <c r="A18" s="16" t="s">
        <v>27</v>
      </c>
      <c r="B18" s="4" t="s">
        <v>28</v>
      </c>
      <c r="C18" s="3">
        <v>1</v>
      </c>
      <c r="D18" s="17">
        <v>349.99</v>
      </c>
      <c r="E18" s="3" t="s">
        <v>29</v>
      </c>
      <c r="F18" s="4" t="s">
        <v>30</v>
      </c>
      <c r="G18" s="16"/>
      <c r="H18" s="17">
        <v>117.42603550295856</v>
      </c>
      <c r="I18" s="4" t="s">
        <v>31</v>
      </c>
      <c r="J18" s="4" t="s">
        <v>32</v>
      </c>
      <c r="K18" s="4" t="s">
        <v>33</v>
      </c>
      <c r="L18" s="4" t="s">
        <v>34</v>
      </c>
      <c r="M18" s="18" t="str">
        <f>HYPERLINK("http://slimages.macys.com/is/image/MCY/8847175 ")</f>
        <v xml:space="preserve">http://slimages.macys.com/is/image/MCY/8847175 </v>
      </c>
      <c r="N18" s="19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72" x14ac:dyDescent="0.25">
      <c r="A19" s="16" t="s">
        <v>35</v>
      </c>
      <c r="B19" s="4" t="s">
        <v>36</v>
      </c>
      <c r="C19" s="3">
        <v>1</v>
      </c>
      <c r="D19" s="17">
        <v>249.99</v>
      </c>
      <c r="E19" s="3" t="s">
        <v>37</v>
      </c>
      <c r="F19" s="4" t="s">
        <v>38</v>
      </c>
      <c r="G19" s="16"/>
      <c r="H19" s="17">
        <v>93.195266272189343</v>
      </c>
      <c r="I19" s="4" t="s">
        <v>31</v>
      </c>
      <c r="J19" s="4" t="s">
        <v>32</v>
      </c>
      <c r="K19" s="4" t="s">
        <v>33</v>
      </c>
      <c r="L19" s="4" t="s">
        <v>39</v>
      </c>
      <c r="M19" s="18" t="str">
        <f>HYPERLINK("http://slimages.macys.com/is/image/MCY/15381855 ")</f>
        <v xml:space="preserve">http://slimages.macys.com/is/image/MCY/15381855 </v>
      </c>
      <c r="N19" s="19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0" x14ac:dyDescent="0.25">
      <c r="A20" s="16" t="s">
        <v>40</v>
      </c>
      <c r="B20" s="4" t="s">
        <v>41</v>
      </c>
      <c r="C20" s="3">
        <v>1</v>
      </c>
      <c r="D20" s="17">
        <v>250.99</v>
      </c>
      <c r="E20" s="3" t="s">
        <v>42</v>
      </c>
      <c r="F20" s="4" t="s">
        <v>43</v>
      </c>
      <c r="G20" s="16"/>
      <c r="H20" s="17">
        <v>83.370414201183422</v>
      </c>
      <c r="I20" s="4" t="s">
        <v>44</v>
      </c>
      <c r="J20" s="4" t="s">
        <v>45</v>
      </c>
      <c r="K20" s="4" t="s">
        <v>33</v>
      </c>
      <c r="L20" s="4" t="s">
        <v>46</v>
      </c>
      <c r="M20" s="18" t="str">
        <f>HYPERLINK("http://slimages.macys.com/is/image/MCY/12502875 ")</f>
        <v xml:space="preserve">http://slimages.macys.com/is/image/MCY/12502875 </v>
      </c>
      <c r="N20" s="1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6" t="s">
        <v>47</v>
      </c>
      <c r="B21" s="4" t="s">
        <v>48</v>
      </c>
      <c r="C21" s="3">
        <v>1</v>
      </c>
      <c r="D21" s="17">
        <v>179.99</v>
      </c>
      <c r="E21" s="3">
        <v>600859451001</v>
      </c>
      <c r="F21" s="4" t="s">
        <v>49</v>
      </c>
      <c r="G21" s="16"/>
      <c r="H21" s="17">
        <v>72.468639053254421</v>
      </c>
      <c r="I21" s="4" t="s">
        <v>50</v>
      </c>
      <c r="J21" s="4" t="s">
        <v>51</v>
      </c>
      <c r="K21" s="4"/>
      <c r="L21" s="4"/>
      <c r="M21" s="18" t="str">
        <f>HYPERLINK("http://slimages.macys.com/is/image/MCY/20479241 ")</f>
        <v xml:space="preserve">http://slimages.macys.com/is/image/MCY/20479241 </v>
      </c>
      <c r="N21" s="1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6" t="s">
        <v>52</v>
      </c>
      <c r="B22" s="4" t="s">
        <v>53</v>
      </c>
      <c r="C22" s="3">
        <v>1</v>
      </c>
      <c r="D22" s="17">
        <v>179.99</v>
      </c>
      <c r="E22" s="3" t="s">
        <v>54</v>
      </c>
      <c r="F22" s="4"/>
      <c r="G22" s="16"/>
      <c r="H22" s="17">
        <v>70.414201183431942</v>
      </c>
      <c r="I22" s="4" t="s">
        <v>55</v>
      </c>
      <c r="J22" s="4" t="s">
        <v>45</v>
      </c>
      <c r="K22" s="4" t="s">
        <v>33</v>
      </c>
      <c r="L22" s="4" t="s">
        <v>56</v>
      </c>
      <c r="M22" s="18" t="str">
        <f>HYPERLINK("http://slimages.macys.com/is/image/MCY/9627922 ")</f>
        <v xml:space="preserve">http://slimages.macys.com/is/image/MCY/9627922 </v>
      </c>
      <c r="N22" s="1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6" t="s">
        <v>57</v>
      </c>
      <c r="B23" s="4" t="s">
        <v>58</v>
      </c>
      <c r="C23" s="3">
        <v>1</v>
      </c>
      <c r="D23" s="17">
        <v>154.99</v>
      </c>
      <c r="E23" s="3" t="s">
        <v>59</v>
      </c>
      <c r="F23" s="4" t="s">
        <v>60</v>
      </c>
      <c r="G23" s="16"/>
      <c r="H23" s="17">
        <v>64.607100591715977</v>
      </c>
      <c r="I23" s="4" t="s">
        <v>55</v>
      </c>
      <c r="J23" s="4" t="s">
        <v>45</v>
      </c>
      <c r="K23" s="4" t="s">
        <v>33</v>
      </c>
      <c r="L23" s="4" t="s">
        <v>61</v>
      </c>
      <c r="M23" s="18" t="str">
        <f>HYPERLINK("http://slimages.macys.com/is/image/MCY/11113017 ")</f>
        <v xml:space="preserve">http://slimages.macys.com/is/image/MCY/11113017 </v>
      </c>
      <c r="N23" s="19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6" t="s">
        <v>62</v>
      </c>
      <c r="B24" s="4" t="s">
        <v>63</v>
      </c>
      <c r="C24" s="3">
        <v>3</v>
      </c>
      <c r="D24" s="17">
        <v>146.99</v>
      </c>
      <c r="E24" s="3">
        <v>19417</v>
      </c>
      <c r="F24" s="4" t="s">
        <v>38</v>
      </c>
      <c r="G24" s="16"/>
      <c r="H24" s="17">
        <v>61.60473372781064</v>
      </c>
      <c r="I24" s="4" t="s">
        <v>64</v>
      </c>
      <c r="J24" s="4" t="s">
        <v>65</v>
      </c>
      <c r="K24" s="4"/>
      <c r="L24" s="4"/>
      <c r="M24" s="18" t="str">
        <f>HYPERLINK("http://slimages.macys.com/is/image/MCY/16708740 ")</f>
        <v xml:space="preserve">http://slimages.macys.com/is/image/MCY/16708740 </v>
      </c>
      <c r="N24" s="19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6" t="s">
        <v>66</v>
      </c>
      <c r="B25" s="4" t="s">
        <v>67</v>
      </c>
      <c r="C25" s="3">
        <v>1</v>
      </c>
      <c r="D25" s="17">
        <v>184.99</v>
      </c>
      <c r="E25" s="3" t="s">
        <v>68</v>
      </c>
      <c r="F25" s="4" t="s">
        <v>30</v>
      </c>
      <c r="G25" s="16"/>
      <c r="H25" s="17">
        <v>60.059171597633139</v>
      </c>
      <c r="I25" s="4" t="s">
        <v>55</v>
      </c>
      <c r="J25" s="4" t="s">
        <v>45</v>
      </c>
      <c r="K25" s="4" t="s">
        <v>33</v>
      </c>
      <c r="L25" s="4" t="s">
        <v>39</v>
      </c>
      <c r="M25" s="18" t="str">
        <f>HYPERLINK("http://slimages.macys.com/is/image/MCY/11825191 ")</f>
        <v xml:space="preserve">http://slimages.macys.com/is/image/MCY/11825191 </v>
      </c>
      <c r="N25" s="19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6" t="s">
        <v>69</v>
      </c>
      <c r="B26" s="4" t="s">
        <v>70</v>
      </c>
      <c r="C26" s="3">
        <v>1</v>
      </c>
      <c r="D26" s="17">
        <v>121.99</v>
      </c>
      <c r="E26" s="3" t="s">
        <v>71</v>
      </c>
      <c r="F26" s="4" t="s">
        <v>72</v>
      </c>
      <c r="G26" s="16"/>
      <c r="H26" s="17">
        <v>56.804733727810643</v>
      </c>
      <c r="I26" s="4" t="s">
        <v>44</v>
      </c>
      <c r="J26" s="4" t="s">
        <v>45</v>
      </c>
      <c r="K26" s="4" t="s">
        <v>33</v>
      </c>
      <c r="L26" s="4" t="s">
        <v>73</v>
      </c>
      <c r="M26" s="18" t="str">
        <f>HYPERLINK("http://slimages.macys.com/is/image/MCY/9767715 ")</f>
        <v xml:space="preserve">http://slimages.macys.com/is/image/MCY/9767715 </v>
      </c>
      <c r="N26" s="19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6" t="s">
        <v>74</v>
      </c>
      <c r="B27" s="4" t="s">
        <v>75</v>
      </c>
      <c r="C27" s="3">
        <v>1</v>
      </c>
      <c r="D27" s="17">
        <v>166.99</v>
      </c>
      <c r="E27" s="3" t="s">
        <v>76</v>
      </c>
      <c r="F27" s="4" t="s">
        <v>77</v>
      </c>
      <c r="G27" s="16"/>
      <c r="H27" s="17">
        <v>55.185798816568038</v>
      </c>
      <c r="I27" s="4" t="s">
        <v>44</v>
      </c>
      <c r="J27" s="4" t="s">
        <v>45</v>
      </c>
      <c r="K27" s="4" t="s">
        <v>33</v>
      </c>
      <c r="L27" s="4" t="s">
        <v>78</v>
      </c>
      <c r="M27" s="18" t="str">
        <f t="shared" ref="M27:M28" si="0">HYPERLINK("http://slimages.macys.com/is/image/MCY/12290540 ")</f>
        <v xml:space="preserve">http://slimages.macys.com/is/image/MCY/12290540 </v>
      </c>
      <c r="N27" s="19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6" t="s">
        <v>79</v>
      </c>
      <c r="B28" s="4" t="s">
        <v>80</v>
      </c>
      <c r="C28" s="3">
        <v>1</v>
      </c>
      <c r="D28" s="17">
        <v>110.99</v>
      </c>
      <c r="E28" s="3" t="s">
        <v>81</v>
      </c>
      <c r="F28" s="4" t="s">
        <v>82</v>
      </c>
      <c r="G28" s="16"/>
      <c r="H28" s="17">
        <v>55.185798816568038</v>
      </c>
      <c r="I28" s="4" t="s">
        <v>44</v>
      </c>
      <c r="J28" s="4" t="s">
        <v>45</v>
      </c>
      <c r="K28" s="4" t="s">
        <v>33</v>
      </c>
      <c r="L28" s="4" t="s">
        <v>78</v>
      </c>
      <c r="M28" s="18" t="str">
        <f t="shared" si="0"/>
        <v xml:space="preserve">http://slimages.macys.com/is/image/MCY/12290540 </v>
      </c>
      <c r="N28" s="19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6" t="s">
        <v>83</v>
      </c>
      <c r="B29" s="4" t="s">
        <v>84</v>
      </c>
      <c r="C29" s="3">
        <v>1</v>
      </c>
      <c r="D29" s="17">
        <v>105.99</v>
      </c>
      <c r="E29" s="3" t="s">
        <v>85</v>
      </c>
      <c r="F29" s="4" t="s">
        <v>86</v>
      </c>
      <c r="G29" s="16"/>
      <c r="H29" s="17">
        <v>54.144378698224848</v>
      </c>
      <c r="I29" s="4" t="s">
        <v>44</v>
      </c>
      <c r="J29" s="4" t="s">
        <v>45</v>
      </c>
      <c r="K29" s="4" t="s">
        <v>33</v>
      </c>
      <c r="L29" s="4" t="s">
        <v>87</v>
      </c>
      <c r="M29" s="18" t="str">
        <f>HYPERLINK("http://slimages.macys.com/is/image/MCY/9798710 ")</f>
        <v xml:space="preserve">http://slimages.macys.com/is/image/MCY/9798710 </v>
      </c>
      <c r="N29" s="1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6" t="s">
        <v>88</v>
      </c>
      <c r="B30" s="4" t="s">
        <v>89</v>
      </c>
      <c r="C30" s="3">
        <v>1</v>
      </c>
      <c r="D30" s="17">
        <v>139.99</v>
      </c>
      <c r="E30" s="3" t="s">
        <v>90</v>
      </c>
      <c r="F30" s="4" t="s">
        <v>30</v>
      </c>
      <c r="G30" s="16"/>
      <c r="H30" s="17">
        <v>53.349112426035497</v>
      </c>
      <c r="I30" s="4" t="s">
        <v>31</v>
      </c>
      <c r="J30" s="4" t="s">
        <v>32</v>
      </c>
      <c r="K30" s="4" t="s">
        <v>33</v>
      </c>
      <c r="L30" s="4" t="s">
        <v>91</v>
      </c>
      <c r="M30" s="18" t="str">
        <f>HYPERLINK("http://slimages.macys.com/is/image/MCY/10441030 ")</f>
        <v xml:space="preserve">http://slimages.macys.com/is/image/MCY/10441030 </v>
      </c>
      <c r="N30" s="19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6" t="s">
        <v>92</v>
      </c>
      <c r="B31" s="4" t="s">
        <v>93</v>
      </c>
      <c r="C31" s="3">
        <v>1</v>
      </c>
      <c r="D31" s="17">
        <v>129.99</v>
      </c>
      <c r="E31" s="3" t="s">
        <v>94</v>
      </c>
      <c r="F31" s="4" t="s">
        <v>38</v>
      </c>
      <c r="G31" s="16"/>
      <c r="H31" s="17">
        <v>50.110059171597641</v>
      </c>
      <c r="I31" s="4" t="s">
        <v>95</v>
      </c>
      <c r="J31" s="4" t="s">
        <v>45</v>
      </c>
      <c r="K31" s="4" t="s">
        <v>33</v>
      </c>
      <c r="L31" s="4"/>
      <c r="M31" s="18" t="str">
        <f>HYPERLINK("http://slimages.macys.com/is/image/MCY/8951293 ")</f>
        <v xml:space="preserve">http://slimages.macys.com/is/image/MCY/8951293 </v>
      </c>
      <c r="N31" s="19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6" t="s">
        <v>96</v>
      </c>
      <c r="B32" s="4" t="s">
        <v>97</v>
      </c>
      <c r="C32" s="3">
        <v>1</v>
      </c>
      <c r="D32" s="17">
        <v>95.99</v>
      </c>
      <c r="E32" s="3" t="s">
        <v>98</v>
      </c>
      <c r="F32" s="4" t="s">
        <v>72</v>
      </c>
      <c r="G32" s="16"/>
      <c r="H32" s="17">
        <v>49.221301775147928</v>
      </c>
      <c r="I32" s="4" t="s">
        <v>44</v>
      </c>
      <c r="J32" s="4" t="s">
        <v>45</v>
      </c>
      <c r="K32" s="4" t="s">
        <v>33</v>
      </c>
      <c r="L32" s="4" t="s">
        <v>87</v>
      </c>
      <c r="M32" s="18" t="str">
        <f>HYPERLINK("http://slimages.macys.com/is/image/MCY/9798710 ")</f>
        <v xml:space="preserve">http://slimages.macys.com/is/image/MCY/9798710 </v>
      </c>
      <c r="N32" s="19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6" t="s">
        <v>99</v>
      </c>
      <c r="B33" s="4" t="s">
        <v>100</v>
      </c>
      <c r="C33" s="3">
        <v>1</v>
      </c>
      <c r="D33" s="17">
        <v>88.99</v>
      </c>
      <c r="E33" s="3" t="s">
        <v>101</v>
      </c>
      <c r="F33" s="4" t="s">
        <v>102</v>
      </c>
      <c r="G33" s="16"/>
      <c r="H33" s="17">
        <v>49.221301775147928</v>
      </c>
      <c r="I33" s="4" t="s">
        <v>44</v>
      </c>
      <c r="J33" s="4" t="s">
        <v>45</v>
      </c>
      <c r="K33" s="4" t="s">
        <v>33</v>
      </c>
      <c r="L33" s="4" t="s">
        <v>103</v>
      </c>
      <c r="M33" s="18" t="str">
        <f>HYPERLINK("http://slimages.macys.com/is/image/MCY/9953853 ")</f>
        <v xml:space="preserve">http://slimages.macys.com/is/image/MCY/9953853 </v>
      </c>
      <c r="N33" s="19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6" t="s">
        <v>104</v>
      </c>
      <c r="B34" s="4" t="s">
        <v>105</v>
      </c>
      <c r="C34" s="3">
        <v>1</v>
      </c>
      <c r="D34" s="17">
        <v>144.99</v>
      </c>
      <c r="E34" s="3" t="s">
        <v>106</v>
      </c>
      <c r="F34" s="4" t="s">
        <v>107</v>
      </c>
      <c r="G34" s="16"/>
      <c r="H34" s="17">
        <v>47.337278106508869</v>
      </c>
      <c r="I34" s="4" t="s">
        <v>44</v>
      </c>
      <c r="J34" s="4" t="s">
        <v>45</v>
      </c>
      <c r="K34" s="4" t="s">
        <v>33</v>
      </c>
      <c r="L34" s="4" t="s">
        <v>108</v>
      </c>
      <c r="M34" s="18" t="str">
        <f>HYPERLINK("http://slimages.macys.com/is/image/MCY/12056510 ")</f>
        <v xml:space="preserve">http://slimages.macys.com/is/image/MCY/12056510 </v>
      </c>
      <c r="N34" s="19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6" t="s">
        <v>109</v>
      </c>
      <c r="B35" s="4" t="s">
        <v>110</v>
      </c>
      <c r="C35" s="3">
        <v>2</v>
      </c>
      <c r="D35" s="17">
        <v>129.99</v>
      </c>
      <c r="E35" s="3" t="s">
        <v>111</v>
      </c>
      <c r="F35" s="4"/>
      <c r="G35" s="16"/>
      <c r="H35" s="17">
        <v>47.289940828402365</v>
      </c>
      <c r="I35" s="4" t="s">
        <v>44</v>
      </c>
      <c r="J35" s="4" t="s">
        <v>112</v>
      </c>
      <c r="K35" s="4"/>
      <c r="L35" s="4"/>
      <c r="M35" s="18" t="str">
        <f>HYPERLINK("http://slimages.macys.com/is/image/MCY/19077987 ")</f>
        <v xml:space="preserve">http://slimages.macys.com/is/image/MCY/19077987 </v>
      </c>
      <c r="N35" s="19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6" t="s">
        <v>113</v>
      </c>
      <c r="B36" s="4" t="s">
        <v>114</v>
      </c>
      <c r="C36" s="3">
        <v>1</v>
      </c>
      <c r="D36" s="17">
        <v>105.99</v>
      </c>
      <c r="E36" s="3" t="s">
        <v>115</v>
      </c>
      <c r="F36" s="4" t="s">
        <v>116</v>
      </c>
      <c r="G36" s="16"/>
      <c r="H36" s="17">
        <v>45.562130177514788</v>
      </c>
      <c r="I36" s="4" t="s">
        <v>55</v>
      </c>
      <c r="J36" s="4" t="s">
        <v>45</v>
      </c>
      <c r="K36" s="4" t="s">
        <v>33</v>
      </c>
      <c r="L36" s="4" t="s">
        <v>117</v>
      </c>
      <c r="M36" s="18" t="str">
        <f>HYPERLINK("http://slimages.macys.com/is/image/MCY/9767711 ")</f>
        <v xml:space="preserve">http://slimages.macys.com/is/image/MCY/9767711 </v>
      </c>
      <c r="N36" s="19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6" t="s">
        <v>118</v>
      </c>
      <c r="B37" s="4" t="s">
        <v>119</v>
      </c>
      <c r="C37" s="3">
        <v>1</v>
      </c>
      <c r="D37" s="17">
        <v>93.99</v>
      </c>
      <c r="E37" s="3" t="s">
        <v>120</v>
      </c>
      <c r="F37" s="4" t="s">
        <v>38</v>
      </c>
      <c r="G37" s="16" t="s">
        <v>121</v>
      </c>
      <c r="H37" s="17">
        <v>44.336094674556207</v>
      </c>
      <c r="I37" s="4" t="s">
        <v>64</v>
      </c>
      <c r="J37" s="4" t="s">
        <v>122</v>
      </c>
      <c r="K37" s="4" t="s">
        <v>33</v>
      </c>
      <c r="L37" s="4" t="s">
        <v>123</v>
      </c>
      <c r="M37" s="18" t="str">
        <f>HYPERLINK("http://slimages.macys.com/is/image/MCY/11798804 ")</f>
        <v xml:space="preserve">http://slimages.macys.com/is/image/MCY/11798804 </v>
      </c>
      <c r="N37" s="19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6" t="s">
        <v>124</v>
      </c>
      <c r="B38" s="4" t="s">
        <v>125</v>
      </c>
      <c r="C38" s="3">
        <v>1</v>
      </c>
      <c r="D38" s="17">
        <v>144.99</v>
      </c>
      <c r="E38" s="3" t="s">
        <v>126</v>
      </c>
      <c r="F38" s="4"/>
      <c r="G38" s="16"/>
      <c r="H38" s="17">
        <v>43.781065088757394</v>
      </c>
      <c r="I38" s="4" t="s">
        <v>55</v>
      </c>
      <c r="J38" s="4" t="s">
        <v>127</v>
      </c>
      <c r="K38" s="4" t="s">
        <v>33</v>
      </c>
      <c r="L38" s="4" t="s">
        <v>128</v>
      </c>
      <c r="M38" s="18" t="str">
        <f>HYPERLINK("http://slimages.macys.com/is/image/MCY/16409224 ")</f>
        <v xml:space="preserve">http://slimages.macys.com/is/image/MCY/16409224 </v>
      </c>
      <c r="N38" s="19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6" t="s">
        <v>129</v>
      </c>
      <c r="B39" s="4" t="s">
        <v>130</v>
      </c>
      <c r="C39" s="3">
        <v>1</v>
      </c>
      <c r="D39" s="17">
        <v>131.99</v>
      </c>
      <c r="E39" s="3">
        <v>70008</v>
      </c>
      <c r="F39" s="4" t="s">
        <v>86</v>
      </c>
      <c r="G39" s="16" t="s">
        <v>131</v>
      </c>
      <c r="H39" s="17">
        <v>42.603550295857985</v>
      </c>
      <c r="I39" s="4" t="s">
        <v>44</v>
      </c>
      <c r="J39" s="4" t="s">
        <v>132</v>
      </c>
      <c r="K39" s="4" t="s">
        <v>33</v>
      </c>
      <c r="L39" s="4" t="s">
        <v>133</v>
      </c>
      <c r="M39" s="18" t="str">
        <f>HYPERLINK("http://slimages.macys.com/is/image/MCY/15057651 ")</f>
        <v xml:space="preserve">http://slimages.macys.com/is/image/MCY/15057651 </v>
      </c>
      <c r="N39" s="19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6" t="s">
        <v>134</v>
      </c>
      <c r="B40" s="4" t="s">
        <v>135</v>
      </c>
      <c r="C40" s="3">
        <v>1</v>
      </c>
      <c r="D40" s="17">
        <v>110</v>
      </c>
      <c r="E40" s="3" t="s">
        <v>136</v>
      </c>
      <c r="F40" s="4"/>
      <c r="G40" s="16"/>
      <c r="H40" s="17">
        <v>41.420118343195263</v>
      </c>
      <c r="I40" s="4" t="s">
        <v>137</v>
      </c>
      <c r="J40" s="4" t="s">
        <v>138</v>
      </c>
      <c r="K40" s="4" t="s">
        <v>33</v>
      </c>
      <c r="L40" s="4" t="s">
        <v>128</v>
      </c>
      <c r="M40" s="18" t="str">
        <f>HYPERLINK("http://slimages.macys.com/is/image/MCY/15575419 ")</f>
        <v xml:space="preserve">http://slimages.macys.com/is/image/MCY/15575419 </v>
      </c>
      <c r="N40" s="19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6" t="s">
        <v>139</v>
      </c>
      <c r="B41" s="4" t="s">
        <v>140</v>
      </c>
      <c r="C41" s="3">
        <v>1</v>
      </c>
      <c r="D41" s="17">
        <v>110</v>
      </c>
      <c r="E41" s="3" t="s">
        <v>141</v>
      </c>
      <c r="F41" s="4"/>
      <c r="G41" s="16"/>
      <c r="H41" s="17">
        <v>41.420118343195263</v>
      </c>
      <c r="I41" s="4" t="s">
        <v>137</v>
      </c>
      <c r="J41" s="4" t="s">
        <v>138</v>
      </c>
      <c r="K41" s="4" t="s">
        <v>33</v>
      </c>
      <c r="L41" s="4" t="s">
        <v>128</v>
      </c>
      <c r="M41" s="18" t="str">
        <f>HYPERLINK("http://slimages.macys.com/is/image/MCY/15575458 ")</f>
        <v xml:space="preserve">http://slimages.macys.com/is/image/MCY/15575458 </v>
      </c>
      <c r="N41" s="19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6" t="s">
        <v>142</v>
      </c>
      <c r="B42" s="4" t="s">
        <v>143</v>
      </c>
      <c r="C42" s="3">
        <v>1</v>
      </c>
      <c r="D42" s="17">
        <v>104.99</v>
      </c>
      <c r="E42" s="3" t="s">
        <v>144</v>
      </c>
      <c r="F42" s="4" t="s">
        <v>116</v>
      </c>
      <c r="G42" s="16"/>
      <c r="H42" s="17">
        <v>40.997633136094677</v>
      </c>
      <c r="I42" s="4" t="s">
        <v>137</v>
      </c>
      <c r="J42" s="4" t="s">
        <v>145</v>
      </c>
      <c r="K42" s="4"/>
      <c r="L42" s="4"/>
      <c r="M42" s="18" t="str">
        <f>HYPERLINK("http://slimages.macys.com/is/image/MCY/18659218 ")</f>
        <v xml:space="preserve">http://slimages.macys.com/is/image/MCY/18659218 </v>
      </c>
      <c r="N42" s="19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6" t="s">
        <v>146</v>
      </c>
      <c r="B43" s="4" t="s">
        <v>147</v>
      </c>
      <c r="C43" s="3">
        <v>2</v>
      </c>
      <c r="D43" s="17">
        <v>114.99</v>
      </c>
      <c r="E43" s="3" t="s">
        <v>148</v>
      </c>
      <c r="F43" s="4" t="s">
        <v>38</v>
      </c>
      <c r="G43" s="16" t="s">
        <v>149</v>
      </c>
      <c r="H43" s="17">
        <v>38.769230769230766</v>
      </c>
      <c r="I43" s="4" t="s">
        <v>44</v>
      </c>
      <c r="J43" s="4" t="s">
        <v>150</v>
      </c>
      <c r="K43" s="4" t="s">
        <v>33</v>
      </c>
      <c r="L43" s="4" t="s">
        <v>151</v>
      </c>
      <c r="M43" s="18" t="str">
        <f>HYPERLINK("http://slimages.macys.com/is/image/MCY/13420778 ")</f>
        <v xml:space="preserve">http://slimages.macys.com/is/image/MCY/13420778 </v>
      </c>
      <c r="N43" s="19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6" t="s">
        <v>152</v>
      </c>
      <c r="B44" s="4" t="s">
        <v>153</v>
      </c>
      <c r="C44" s="3">
        <v>1</v>
      </c>
      <c r="D44" s="17">
        <v>112.99</v>
      </c>
      <c r="E44" s="3" t="s">
        <v>154</v>
      </c>
      <c r="F44" s="4" t="s">
        <v>116</v>
      </c>
      <c r="G44" s="16"/>
      <c r="H44" s="17">
        <v>37.576331360946739</v>
      </c>
      <c r="I44" s="4" t="s">
        <v>137</v>
      </c>
      <c r="J44" s="4" t="s">
        <v>145</v>
      </c>
      <c r="K44" s="4"/>
      <c r="L44" s="4"/>
      <c r="M44" s="18" t="str">
        <f>HYPERLINK("http://slimages.macys.com/is/image/MCY/18659057 ")</f>
        <v xml:space="preserve">http://slimages.macys.com/is/image/MCY/18659057 </v>
      </c>
      <c r="N44" s="19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6" t="s">
        <v>155</v>
      </c>
      <c r="B45" s="4" t="s">
        <v>156</v>
      </c>
      <c r="C45" s="3">
        <v>1</v>
      </c>
      <c r="D45" s="17">
        <v>108.99</v>
      </c>
      <c r="E45" s="3" t="s">
        <v>157</v>
      </c>
      <c r="F45" s="4" t="s">
        <v>82</v>
      </c>
      <c r="G45" s="16"/>
      <c r="H45" s="17">
        <v>37.491124260355029</v>
      </c>
      <c r="I45" s="4" t="s">
        <v>44</v>
      </c>
      <c r="J45" s="4" t="s">
        <v>45</v>
      </c>
      <c r="K45" s="4" t="s">
        <v>33</v>
      </c>
      <c r="L45" s="4" t="s">
        <v>158</v>
      </c>
      <c r="M45" s="18" t="str">
        <f>HYPERLINK("http://slimages.macys.com/is/image/MCY/11825082 ")</f>
        <v xml:space="preserve">http://slimages.macys.com/is/image/MCY/11825082 </v>
      </c>
      <c r="N45" s="19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6" t="s">
        <v>159</v>
      </c>
      <c r="B46" s="4" t="s">
        <v>160</v>
      </c>
      <c r="C46" s="3">
        <v>2</v>
      </c>
      <c r="D46" s="17">
        <v>129.99</v>
      </c>
      <c r="E46" s="3" t="s">
        <v>161</v>
      </c>
      <c r="F46" s="4" t="s">
        <v>162</v>
      </c>
      <c r="G46" s="16"/>
      <c r="H46" s="17">
        <v>37.286390532544381</v>
      </c>
      <c r="I46" s="4" t="s">
        <v>163</v>
      </c>
      <c r="J46" s="4" t="s">
        <v>164</v>
      </c>
      <c r="K46" s="4"/>
      <c r="L46" s="4"/>
      <c r="M46" s="18" t="str">
        <f>HYPERLINK("http://slimages.macys.com/is/image/MCY/18159733 ")</f>
        <v xml:space="preserve">http://slimages.macys.com/is/image/MCY/18159733 </v>
      </c>
      <c r="N46" s="19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6" t="s">
        <v>165</v>
      </c>
      <c r="B47" s="4" t="s">
        <v>166</v>
      </c>
      <c r="C47" s="3">
        <v>1</v>
      </c>
      <c r="D47" s="17">
        <v>119.99</v>
      </c>
      <c r="E47" s="3" t="s">
        <v>167</v>
      </c>
      <c r="F47" s="4" t="s">
        <v>60</v>
      </c>
      <c r="G47" s="16"/>
      <c r="H47" s="17">
        <v>35.919526627218929</v>
      </c>
      <c r="I47" s="4" t="s">
        <v>168</v>
      </c>
      <c r="J47" s="4" t="s">
        <v>169</v>
      </c>
      <c r="K47" s="4"/>
      <c r="L47" s="4"/>
      <c r="M47" s="18" t="str">
        <f t="shared" ref="M47:M49" si="1">HYPERLINK("http://slimages.macys.com/is/image/MCY/19773968 ")</f>
        <v xml:space="preserve">http://slimages.macys.com/is/image/MCY/19773968 </v>
      </c>
      <c r="N47" s="19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6" t="s">
        <v>170</v>
      </c>
      <c r="B48" s="4" t="s">
        <v>171</v>
      </c>
      <c r="C48" s="3">
        <v>8</v>
      </c>
      <c r="D48" s="17">
        <v>119.99</v>
      </c>
      <c r="E48" s="3" t="s">
        <v>172</v>
      </c>
      <c r="F48" s="4" t="s">
        <v>30</v>
      </c>
      <c r="G48" s="16"/>
      <c r="H48" s="17">
        <v>35.919526627218929</v>
      </c>
      <c r="I48" s="4" t="s">
        <v>168</v>
      </c>
      <c r="J48" s="4" t="s">
        <v>169</v>
      </c>
      <c r="K48" s="4"/>
      <c r="L48" s="4"/>
      <c r="M48" s="18" t="str">
        <f t="shared" si="1"/>
        <v xml:space="preserve">http://slimages.macys.com/is/image/MCY/19773968 </v>
      </c>
      <c r="N48" s="19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6" t="s">
        <v>173</v>
      </c>
      <c r="B49" s="4" t="s">
        <v>174</v>
      </c>
      <c r="C49" s="3">
        <v>2</v>
      </c>
      <c r="D49" s="17">
        <v>119.99</v>
      </c>
      <c r="E49" s="3" t="s">
        <v>175</v>
      </c>
      <c r="F49" s="4" t="s">
        <v>176</v>
      </c>
      <c r="G49" s="16"/>
      <c r="H49" s="17">
        <v>35.919526627218929</v>
      </c>
      <c r="I49" s="4" t="s">
        <v>168</v>
      </c>
      <c r="J49" s="4" t="s">
        <v>169</v>
      </c>
      <c r="K49" s="4"/>
      <c r="L49" s="4"/>
      <c r="M49" s="18" t="str">
        <f t="shared" si="1"/>
        <v xml:space="preserve">http://slimages.macys.com/is/image/MCY/19773968 </v>
      </c>
      <c r="N49" s="19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6" t="s">
        <v>177</v>
      </c>
      <c r="B50" s="4" t="s">
        <v>178</v>
      </c>
      <c r="C50" s="3">
        <v>1</v>
      </c>
      <c r="D50" s="17">
        <v>119.99</v>
      </c>
      <c r="E50" s="3" t="s">
        <v>179</v>
      </c>
      <c r="F50" s="4" t="s">
        <v>162</v>
      </c>
      <c r="G50" s="16"/>
      <c r="H50" s="17">
        <v>35.919526627218929</v>
      </c>
      <c r="I50" s="4" t="s">
        <v>168</v>
      </c>
      <c r="J50" s="4" t="s">
        <v>169</v>
      </c>
      <c r="K50" s="4"/>
      <c r="L50" s="4"/>
      <c r="M50" s="18" t="str">
        <f>HYPERLINK("http://slimages.macys.com/is/image/MCY/17871289 ")</f>
        <v xml:space="preserve">http://slimages.macys.com/is/image/MCY/17871289 </v>
      </c>
      <c r="N50" s="19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6" t="s">
        <v>180</v>
      </c>
      <c r="B51" s="4" t="s">
        <v>181</v>
      </c>
      <c r="C51" s="3">
        <v>1</v>
      </c>
      <c r="D51" s="17">
        <v>129.99</v>
      </c>
      <c r="E51" s="3" t="s">
        <v>182</v>
      </c>
      <c r="F51" s="4" t="s">
        <v>30</v>
      </c>
      <c r="G51" s="16"/>
      <c r="H51" s="17">
        <v>33.964497041420117</v>
      </c>
      <c r="I51" s="4" t="s">
        <v>55</v>
      </c>
      <c r="J51" s="4" t="s">
        <v>45</v>
      </c>
      <c r="K51" s="4"/>
      <c r="L51" s="4"/>
      <c r="M51" s="18" t="str">
        <f>HYPERLINK("http://slimages.macys.com/is/image/MCY/18986903 ")</f>
        <v xml:space="preserve">http://slimages.macys.com/is/image/MCY/18986903 </v>
      </c>
      <c r="N51" s="19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6" t="s">
        <v>183</v>
      </c>
      <c r="B52" s="4" t="s">
        <v>184</v>
      </c>
      <c r="C52" s="3">
        <v>15</v>
      </c>
      <c r="D52" s="17">
        <v>99.99</v>
      </c>
      <c r="E52" s="3" t="s">
        <v>185</v>
      </c>
      <c r="F52" s="4" t="s">
        <v>176</v>
      </c>
      <c r="G52" s="16"/>
      <c r="H52" s="17">
        <v>33.426035502958577</v>
      </c>
      <c r="I52" s="4" t="s">
        <v>168</v>
      </c>
      <c r="J52" s="4" t="s">
        <v>169</v>
      </c>
      <c r="K52" s="4"/>
      <c r="L52" s="4"/>
      <c r="M52" s="18" t="str">
        <f t="shared" ref="M52:M53" si="2">HYPERLINK("http://slimages.macys.com/is/image/MCY/19773968 ")</f>
        <v xml:space="preserve">http://slimages.macys.com/is/image/MCY/19773968 </v>
      </c>
      <c r="N52" s="19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6" t="s">
        <v>186</v>
      </c>
      <c r="B53" s="4" t="s">
        <v>187</v>
      </c>
      <c r="C53" s="3">
        <v>19</v>
      </c>
      <c r="D53" s="17">
        <v>99.99</v>
      </c>
      <c r="E53" s="3" t="s">
        <v>188</v>
      </c>
      <c r="F53" s="4" t="s">
        <v>30</v>
      </c>
      <c r="G53" s="16"/>
      <c r="H53" s="17">
        <v>33.426035502958577</v>
      </c>
      <c r="I53" s="4" t="s">
        <v>168</v>
      </c>
      <c r="J53" s="4" t="s">
        <v>169</v>
      </c>
      <c r="K53" s="4"/>
      <c r="L53" s="4"/>
      <c r="M53" s="18" t="str">
        <f t="shared" si="2"/>
        <v xml:space="preserve">http://slimages.macys.com/is/image/MCY/19773968 </v>
      </c>
      <c r="N53" s="19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6" t="s">
        <v>189</v>
      </c>
      <c r="B54" s="4" t="s">
        <v>190</v>
      </c>
      <c r="C54" s="3">
        <v>1</v>
      </c>
      <c r="D54" s="17">
        <v>99.99</v>
      </c>
      <c r="E54" s="3" t="s">
        <v>191</v>
      </c>
      <c r="F54" s="4" t="s">
        <v>162</v>
      </c>
      <c r="G54" s="16"/>
      <c r="H54" s="17">
        <v>33.426035502958577</v>
      </c>
      <c r="I54" s="4" t="s">
        <v>168</v>
      </c>
      <c r="J54" s="4" t="s">
        <v>169</v>
      </c>
      <c r="K54" s="4"/>
      <c r="L54" s="4"/>
      <c r="M54" s="18" t="str">
        <f>HYPERLINK("http://slimages.macys.com/is/image/MCY/17871289 ")</f>
        <v xml:space="preserve">http://slimages.macys.com/is/image/MCY/17871289 </v>
      </c>
      <c r="N54" s="19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6" t="s">
        <v>192</v>
      </c>
      <c r="B55" s="4" t="s">
        <v>193</v>
      </c>
      <c r="C55" s="3">
        <v>1</v>
      </c>
      <c r="D55" s="17">
        <v>99.99</v>
      </c>
      <c r="E55" s="3" t="s">
        <v>194</v>
      </c>
      <c r="F55" s="4" t="s">
        <v>162</v>
      </c>
      <c r="G55" s="16"/>
      <c r="H55" s="17">
        <v>32.473372781065088</v>
      </c>
      <c r="I55" s="4" t="s">
        <v>163</v>
      </c>
      <c r="J55" s="4" t="s">
        <v>164</v>
      </c>
      <c r="K55" s="4"/>
      <c r="L55" s="4"/>
      <c r="M55" s="18" t="str">
        <f>HYPERLINK("http://slimages.macys.com/is/image/MCY/18159733 ")</f>
        <v xml:space="preserve">http://slimages.macys.com/is/image/MCY/18159733 </v>
      </c>
      <c r="N55" s="19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6" t="s">
        <v>195</v>
      </c>
      <c r="B56" s="4" t="s">
        <v>196</v>
      </c>
      <c r="C56" s="3">
        <v>1</v>
      </c>
      <c r="D56" s="17">
        <v>102.99</v>
      </c>
      <c r="E56" s="3" t="s">
        <v>197</v>
      </c>
      <c r="F56" s="4" t="s">
        <v>49</v>
      </c>
      <c r="G56" s="16"/>
      <c r="H56" s="17">
        <v>32.307692307692307</v>
      </c>
      <c r="I56" s="4" t="s">
        <v>55</v>
      </c>
      <c r="J56" s="4" t="s">
        <v>198</v>
      </c>
      <c r="K56" s="4" t="s">
        <v>33</v>
      </c>
      <c r="L56" s="4" t="s">
        <v>199</v>
      </c>
      <c r="M56" s="18" t="str">
        <f>HYPERLINK("http://slimages.macys.com/is/image/MCY/11361020 ")</f>
        <v xml:space="preserve">http://slimages.macys.com/is/image/MCY/11361020 </v>
      </c>
      <c r="N56" s="19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6" t="s">
        <v>200</v>
      </c>
      <c r="B57" s="4" t="s">
        <v>201</v>
      </c>
      <c r="C57" s="3">
        <v>1</v>
      </c>
      <c r="D57" s="17">
        <v>79.989999999999995</v>
      </c>
      <c r="E57" s="3">
        <v>600785771001</v>
      </c>
      <c r="F57" s="4" t="s">
        <v>202</v>
      </c>
      <c r="G57" s="16" t="s">
        <v>203</v>
      </c>
      <c r="H57" s="17">
        <v>32.208284023668639</v>
      </c>
      <c r="I57" s="4" t="s">
        <v>50</v>
      </c>
      <c r="J57" s="4" t="s">
        <v>51</v>
      </c>
      <c r="K57" s="4"/>
      <c r="L57" s="4"/>
      <c r="M57" s="18" t="str">
        <f>HYPERLINK("http://slimages.macys.com/is/image/MCY/16880083 ")</f>
        <v xml:space="preserve">http://slimages.macys.com/is/image/MCY/16880083 </v>
      </c>
      <c r="N57" s="19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6" t="s">
        <v>204</v>
      </c>
      <c r="B58" s="4" t="s">
        <v>205</v>
      </c>
      <c r="C58" s="3">
        <v>1</v>
      </c>
      <c r="D58" s="17">
        <v>86.99</v>
      </c>
      <c r="E58" s="3" t="s">
        <v>206</v>
      </c>
      <c r="F58" s="4" t="s">
        <v>38</v>
      </c>
      <c r="G58" s="16" t="s">
        <v>207</v>
      </c>
      <c r="H58" s="17">
        <v>32.142011834319526</v>
      </c>
      <c r="I58" s="4" t="s">
        <v>55</v>
      </c>
      <c r="J58" s="4" t="s">
        <v>208</v>
      </c>
      <c r="K58" s="4"/>
      <c r="L58" s="4"/>
      <c r="M58" s="18" t="str">
        <f t="shared" ref="M58:M60" si="3">HYPERLINK("http://slimages.macys.com/is/image/MCY/18528221 ")</f>
        <v xml:space="preserve">http://slimages.macys.com/is/image/MCY/18528221 </v>
      </c>
      <c r="N58" s="19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6" t="s">
        <v>204</v>
      </c>
      <c r="B59" s="4" t="s">
        <v>205</v>
      </c>
      <c r="C59" s="3">
        <v>1</v>
      </c>
      <c r="D59" s="17">
        <v>86.99</v>
      </c>
      <c r="E59" s="3" t="s">
        <v>206</v>
      </c>
      <c r="F59" s="4" t="s">
        <v>38</v>
      </c>
      <c r="G59" s="16" t="s">
        <v>207</v>
      </c>
      <c r="H59" s="17">
        <v>32.142011834319526</v>
      </c>
      <c r="I59" s="4" t="s">
        <v>55</v>
      </c>
      <c r="J59" s="4" t="s">
        <v>208</v>
      </c>
      <c r="K59" s="4"/>
      <c r="L59" s="4"/>
      <c r="M59" s="18" t="str">
        <f t="shared" si="3"/>
        <v xml:space="preserve">http://slimages.macys.com/is/image/MCY/18528221 </v>
      </c>
      <c r="N59" s="19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6" t="s">
        <v>209</v>
      </c>
      <c r="B60" s="4" t="s">
        <v>210</v>
      </c>
      <c r="C60" s="3">
        <v>1</v>
      </c>
      <c r="D60" s="17">
        <v>86.99</v>
      </c>
      <c r="E60" s="3" t="s">
        <v>211</v>
      </c>
      <c r="F60" s="4" t="s">
        <v>212</v>
      </c>
      <c r="G60" s="16" t="s">
        <v>207</v>
      </c>
      <c r="H60" s="17">
        <v>32.142011834319526</v>
      </c>
      <c r="I60" s="4" t="s">
        <v>55</v>
      </c>
      <c r="J60" s="4" t="s">
        <v>208</v>
      </c>
      <c r="K60" s="4"/>
      <c r="L60" s="4"/>
      <c r="M60" s="18" t="str">
        <f t="shared" si="3"/>
        <v xml:space="preserve">http://slimages.macys.com/is/image/MCY/18528221 </v>
      </c>
      <c r="N60" s="19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6" t="s">
        <v>213</v>
      </c>
      <c r="B61" s="4" t="s">
        <v>214</v>
      </c>
      <c r="C61" s="3">
        <v>1</v>
      </c>
      <c r="D61" s="17">
        <v>55.99</v>
      </c>
      <c r="E61" s="3" t="s">
        <v>215</v>
      </c>
      <c r="F61" s="4" t="s">
        <v>216</v>
      </c>
      <c r="G61" s="16"/>
      <c r="H61" s="17">
        <v>31.81065088757396</v>
      </c>
      <c r="I61" s="4" t="s">
        <v>44</v>
      </c>
      <c r="J61" s="4" t="s">
        <v>45</v>
      </c>
      <c r="K61" s="4" t="s">
        <v>33</v>
      </c>
      <c r="L61" s="4" t="s">
        <v>128</v>
      </c>
      <c r="M61" s="18" t="str">
        <f>HYPERLINK("http://slimages.macys.com/is/image/MCY/9775066 ")</f>
        <v xml:space="preserve">http://slimages.macys.com/is/image/MCY/9775066 </v>
      </c>
      <c r="N61" s="19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6" t="s">
        <v>217</v>
      </c>
      <c r="B62" s="4" t="s">
        <v>218</v>
      </c>
      <c r="C62" s="3">
        <v>1</v>
      </c>
      <c r="D62" s="17">
        <v>99.99</v>
      </c>
      <c r="E62" s="3" t="s">
        <v>219</v>
      </c>
      <c r="F62" s="4" t="s">
        <v>49</v>
      </c>
      <c r="G62" s="16"/>
      <c r="H62" s="17">
        <v>31.81065088757396</v>
      </c>
      <c r="I62" s="4" t="s">
        <v>55</v>
      </c>
      <c r="J62" s="4" t="s">
        <v>45</v>
      </c>
      <c r="K62" s="4" t="s">
        <v>33</v>
      </c>
      <c r="L62" s="4" t="s">
        <v>220</v>
      </c>
      <c r="M62" s="18" t="str">
        <f>HYPERLINK("http://slimages.macys.com/is/image/MCY/12496227 ")</f>
        <v xml:space="preserve">http://slimages.macys.com/is/image/MCY/12496227 </v>
      </c>
      <c r="N62" s="19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6" t="s">
        <v>221</v>
      </c>
      <c r="B63" s="4" t="s">
        <v>222</v>
      </c>
      <c r="C63" s="3">
        <v>1</v>
      </c>
      <c r="D63" s="17">
        <v>79.989999999999995</v>
      </c>
      <c r="E63" s="3" t="s">
        <v>223</v>
      </c>
      <c r="F63" s="4" t="s">
        <v>77</v>
      </c>
      <c r="G63" s="16"/>
      <c r="H63" s="17">
        <v>31.147928994082839</v>
      </c>
      <c r="I63" s="4" t="s">
        <v>137</v>
      </c>
      <c r="J63" s="4" t="s">
        <v>145</v>
      </c>
      <c r="K63" s="4" t="s">
        <v>33</v>
      </c>
      <c r="L63" s="4" t="s">
        <v>224</v>
      </c>
      <c r="M63" s="18" t="str">
        <f>HYPERLINK("http://slimages.macys.com/is/image/MCY/9484800 ")</f>
        <v xml:space="preserve">http://slimages.macys.com/is/image/MCY/9484800 </v>
      </c>
      <c r="N63" s="19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6" t="s">
        <v>225</v>
      </c>
      <c r="B64" s="4" t="s">
        <v>226</v>
      </c>
      <c r="C64" s="3">
        <v>1</v>
      </c>
      <c r="D64" s="17">
        <v>142.99</v>
      </c>
      <c r="E64" s="3" t="s">
        <v>227</v>
      </c>
      <c r="F64" s="4" t="s">
        <v>102</v>
      </c>
      <c r="G64" s="16"/>
      <c r="H64" s="17">
        <v>30.750295857988167</v>
      </c>
      <c r="I64" s="4" t="s">
        <v>55</v>
      </c>
      <c r="J64" s="4" t="s">
        <v>45</v>
      </c>
      <c r="K64" s="4" t="s">
        <v>33</v>
      </c>
      <c r="L64" s="4" t="s">
        <v>228</v>
      </c>
      <c r="M64" s="18" t="str">
        <f>HYPERLINK("http://slimages.macys.com/is/image/MCY/9627844 ")</f>
        <v xml:space="preserve">http://slimages.macys.com/is/image/MCY/9627844 </v>
      </c>
      <c r="N64" s="19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6" t="s">
        <v>229</v>
      </c>
      <c r="B65" s="4" t="s">
        <v>230</v>
      </c>
      <c r="C65" s="3">
        <v>1</v>
      </c>
      <c r="D65" s="17">
        <v>89.99</v>
      </c>
      <c r="E65" s="3" t="s">
        <v>231</v>
      </c>
      <c r="F65" s="4"/>
      <c r="G65" s="16"/>
      <c r="H65" s="17">
        <v>30.311242603550294</v>
      </c>
      <c r="I65" s="4" t="s">
        <v>55</v>
      </c>
      <c r="J65" s="4" t="s">
        <v>127</v>
      </c>
      <c r="K65" s="4" t="s">
        <v>33</v>
      </c>
      <c r="L65" s="4" t="s">
        <v>128</v>
      </c>
      <c r="M65" s="18" t="str">
        <f>HYPERLINK("http://slimages.macys.com/is/image/MCY/8962717 ")</f>
        <v xml:space="preserve">http://slimages.macys.com/is/image/MCY/8962717 </v>
      </c>
      <c r="N65" s="19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6" t="s">
        <v>232</v>
      </c>
      <c r="B66" s="4" t="s">
        <v>233</v>
      </c>
      <c r="C66" s="3">
        <v>1</v>
      </c>
      <c r="D66" s="17">
        <v>159.99</v>
      </c>
      <c r="E66" s="3" t="s">
        <v>234</v>
      </c>
      <c r="F66" s="4" t="s">
        <v>235</v>
      </c>
      <c r="G66" s="16"/>
      <c r="H66" s="17">
        <v>30.153846153846153</v>
      </c>
      <c r="I66" s="4" t="s">
        <v>55</v>
      </c>
      <c r="J66" s="4" t="s">
        <v>45</v>
      </c>
      <c r="K66" s="4" t="s">
        <v>33</v>
      </c>
      <c r="L66" s="4" t="s">
        <v>236</v>
      </c>
      <c r="M66" s="18" t="str">
        <f>HYPERLINK("http://slimages.macys.com/is/image/MCY/9627827 ")</f>
        <v xml:space="preserve">http://slimages.macys.com/is/image/MCY/9627827 </v>
      </c>
      <c r="N66" s="19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6" t="s">
        <v>237</v>
      </c>
      <c r="B67" s="4" t="s">
        <v>238</v>
      </c>
      <c r="C67" s="3">
        <v>1</v>
      </c>
      <c r="D67" s="17">
        <v>39.99</v>
      </c>
      <c r="E67" s="3" t="s">
        <v>239</v>
      </c>
      <c r="F67" s="4" t="s">
        <v>38</v>
      </c>
      <c r="G67" s="16" t="s">
        <v>240</v>
      </c>
      <c r="H67" s="17">
        <v>30.097041420118337</v>
      </c>
      <c r="I67" s="4" t="s">
        <v>64</v>
      </c>
      <c r="J67" s="4" t="s">
        <v>241</v>
      </c>
      <c r="K67" s="4" t="s">
        <v>33</v>
      </c>
      <c r="L67" s="4" t="s">
        <v>242</v>
      </c>
      <c r="M67" s="18" t="str">
        <f>HYPERLINK("http://slimages.macys.com/is/image/MCY/8839193 ")</f>
        <v xml:space="preserve">http://slimages.macys.com/is/image/MCY/8839193 </v>
      </c>
      <c r="N67" s="19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6" t="s">
        <v>243</v>
      </c>
      <c r="B68" s="4" t="s">
        <v>244</v>
      </c>
      <c r="C68" s="3">
        <v>1</v>
      </c>
      <c r="D68" s="17">
        <v>79.989999999999995</v>
      </c>
      <c r="E68" s="3" t="s">
        <v>245</v>
      </c>
      <c r="F68" s="4" t="s">
        <v>162</v>
      </c>
      <c r="G68" s="16"/>
      <c r="H68" s="17">
        <v>28.149112426035504</v>
      </c>
      <c r="I68" s="4" t="s">
        <v>163</v>
      </c>
      <c r="J68" s="4" t="s">
        <v>164</v>
      </c>
      <c r="K68" s="4"/>
      <c r="L68" s="4"/>
      <c r="M68" s="18" t="str">
        <f>HYPERLINK("http://slimages.macys.com/is/image/MCY/18159733 ")</f>
        <v xml:space="preserve">http://slimages.macys.com/is/image/MCY/18159733 </v>
      </c>
      <c r="N68" s="19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6" t="s">
        <v>246</v>
      </c>
      <c r="B69" s="4" t="s">
        <v>247</v>
      </c>
      <c r="C69" s="3">
        <v>1</v>
      </c>
      <c r="D69" s="17">
        <v>119.99</v>
      </c>
      <c r="E69" s="3" t="s">
        <v>248</v>
      </c>
      <c r="F69" s="4" t="s">
        <v>30</v>
      </c>
      <c r="G69" s="16"/>
      <c r="H69" s="17">
        <v>27.710059171597631</v>
      </c>
      <c r="I69" s="4" t="s">
        <v>168</v>
      </c>
      <c r="J69" s="4" t="s">
        <v>249</v>
      </c>
      <c r="K69" s="4" t="s">
        <v>33</v>
      </c>
      <c r="L69" s="4"/>
      <c r="M69" s="18" t="str">
        <f>HYPERLINK("http://slimages.macys.com/is/image/MCY/16384053 ")</f>
        <v xml:space="preserve">http://slimages.macys.com/is/image/MCY/16384053 </v>
      </c>
      <c r="N69" s="19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6" t="s">
        <v>250</v>
      </c>
      <c r="B70" s="4" t="s">
        <v>251</v>
      </c>
      <c r="C70" s="3">
        <v>1</v>
      </c>
      <c r="D70" s="17">
        <v>54.99</v>
      </c>
      <c r="E70" s="3">
        <v>21428338</v>
      </c>
      <c r="F70" s="4" t="s">
        <v>252</v>
      </c>
      <c r="G70" s="16"/>
      <c r="H70" s="17">
        <v>27.652071005917158</v>
      </c>
      <c r="I70" s="4" t="s">
        <v>253</v>
      </c>
      <c r="J70" s="4" t="s">
        <v>254</v>
      </c>
      <c r="K70" s="4" t="s">
        <v>33</v>
      </c>
      <c r="L70" s="4"/>
      <c r="M70" s="18" t="str">
        <f>HYPERLINK("http://slimages.macys.com/is/image/MCY/15103695 ")</f>
        <v xml:space="preserve">http://slimages.macys.com/is/image/MCY/15103695 </v>
      </c>
      <c r="N70" s="19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6" t="s">
        <v>255</v>
      </c>
      <c r="B71" s="4" t="s">
        <v>256</v>
      </c>
      <c r="C71" s="3">
        <v>1</v>
      </c>
      <c r="D71" s="17">
        <v>63.99</v>
      </c>
      <c r="E71" s="3" t="s">
        <v>257</v>
      </c>
      <c r="F71" s="4" t="s">
        <v>258</v>
      </c>
      <c r="G71" s="16"/>
      <c r="H71" s="17">
        <v>27.254437869822482</v>
      </c>
      <c r="I71" s="4" t="s">
        <v>55</v>
      </c>
      <c r="J71" s="4" t="s">
        <v>45</v>
      </c>
      <c r="K71" s="4" t="s">
        <v>33</v>
      </c>
      <c r="L71" s="4" t="s">
        <v>259</v>
      </c>
      <c r="M71" s="18" t="str">
        <f>HYPERLINK("http://slimages.macys.com/is/image/MCY/11113597 ")</f>
        <v xml:space="preserve">http://slimages.macys.com/is/image/MCY/11113597 </v>
      </c>
      <c r="N71" s="19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6" t="s">
        <v>260</v>
      </c>
      <c r="B72" s="4" t="s">
        <v>261</v>
      </c>
      <c r="C72" s="3">
        <v>7</v>
      </c>
      <c r="D72" s="17">
        <v>69.989999999999995</v>
      </c>
      <c r="E72" s="3" t="s">
        <v>262</v>
      </c>
      <c r="F72" s="4" t="s">
        <v>30</v>
      </c>
      <c r="G72" s="16"/>
      <c r="H72" s="17">
        <v>27.030769230769231</v>
      </c>
      <c r="I72" s="4" t="s">
        <v>168</v>
      </c>
      <c r="J72" s="4" t="s">
        <v>169</v>
      </c>
      <c r="K72" s="4"/>
      <c r="L72" s="4"/>
      <c r="M72" s="18" t="str">
        <f>HYPERLINK("http://slimages.macys.com/is/image/MCY/19773968 ")</f>
        <v xml:space="preserve">http://slimages.macys.com/is/image/MCY/19773968 </v>
      </c>
      <c r="N72" s="19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6" t="s">
        <v>263</v>
      </c>
      <c r="B73" s="4" t="s">
        <v>264</v>
      </c>
      <c r="C73" s="3">
        <v>7</v>
      </c>
      <c r="D73" s="17">
        <v>69.989999999999995</v>
      </c>
      <c r="E73" s="3" t="s">
        <v>265</v>
      </c>
      <c r="F73" s="4" t="s">
        <v>162</v>
      </c>
      <c r="G73" s="16"/>
      <c r="H73" s="17">
        <v>27.030769230769231</v>
      </c>
      <c r="I73" s="4" t="s">
        <v>168</v>
      </c>
      <c r="J73" s="4" t="s">
        <v>169</v>
      </c>
      <c r="K73" s="4"/>
      <c r="L73" s="4"/>
      <c r="M73" s="18" t="str">
        <f>HYPERLINK("http://slimages.macys.com/is/image/MCY/19774190 ")</f>
        <v xml:space="preserve">http://slimages.macys.com/is/image/MCY/19774190 </v>
      </c>
      <c r="N73" s="19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6" t="s">
        <v>266</v>
      </c>
      <c r="B74" s="4" t="s">
        <v>267</v>
      </c>
      <c r="C74" s="3">
        <v>4</v>
      </c>
      <c r="D74" s="17">
        <v>69.989999999999995</v>
      </c>
      <c r="E74" s="3" t="s">
        <v>268</v>
      </c>
      <c r="F74" s="4" t="s">
        <v>60</v>
      </c>
      <c r="G74" s="16"/>
      <c r="H74" s="17">
        <v>27.030769230769231</v>
      </c>
      <c r="I74" s="4" t="s">
        <v>168</v>
      </c>
      <c r="J74" s="4" t="s">
        <v>169</v>
      </c>
      <c r="K74" s="4"/>
      <c r="L74" s="4"/>
      <c r="M74" s="18" t="str">
        <f t="shared" ref="M74:M75" si="4">HYPERLINK("http://slimages.macys.com/is/image/MCY/19773968 ")</f>
        <v xml:space="preserve">http://slimages.macys.com/is/image/MCY/19773968 </v>
      </c>
      <c r="N74" s="19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6" t="s">
        <v>269</v>
      </c>
      <c r="B75" s="4" t="s">
        <v>270</v>
      </c>
      <c r="C75" s="3">
        <v>9</v>
      </c>
      <c r="D75" s="17">
        <v>69.989999999999995</v>
      </c>
      <c r="E75" s="3" t="s">
        <v>271</v>
      </c>
      <c r="F75" s="4" t="s">
        <v>176</v>
      </c>
      <c r="G75" s="16"/>
      <c r="H75" s="17">
        <v>27.030769230769231</v>
      </c>
      <c r="I75" s="4" t="s">
        <v>168</v>
      </c>
      <c r="J75" s="4" t="s">
        <v>169</v>
      </c>
      <c r="K75" s="4"/>
      <c r="L75" s="4"/>
      <c r="M75" s="18" t="str">
        <f t="shared" si="4"/>
        <v xml:space="preserve">http://slimages.macys.com/is/image/MCY/19773968 </v>
      </c>
      <c r="N75" s="19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6" t="s">
        <v>272</v>
      </c>
      <c r="B76" s="4" t="s">
        <v>273</v>
      </c>
      <c r="C76" s="3">
        <v>1</v>
      </c>
      <c r="D76" s="17">
        <v>40.99</v>
      </c>
      <c r="E76" s="3" t="s">
        <v>274</v>
      </c>
      <c r="F76" s="4" t="s">
        <v>176</v>
      </c>
      <c r="G76" s="16"/>
      <c r="H76" s="17">
        <v>26.923076923076923</v>
      </c>
      <c r="I76" s="4" t="s">
        <v>275</v>
      </c>
      <c r="J76" s="4" t="s">
        <v>45</v>
      </c>
      <c r="K76" s="4" t="s">
        <v>33</v>
      </c>
      <c r="L76" s="4" t="s">
        <v>39</v>
      </c>
      <c r="M76" s="18" t="str">
        <f>HYPERLINK("http://slimages.macys.com/is/image/MCY/10764977 ")</f>
        <v xml:space="preserve">http://slimages.macys.com/is/image/MCY/10764977 </v>
      </c>
      <c r="N76" s="19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6" t="s">
        <v>276</v>
      </c>
      <c r="B77" s="4" t="s">
        <v>277</v>
      </c>
      <c r="C77" s="3">
        <v>1</v>
      </c>
      <c r="D77" s="17">
        <v>78.989999999999995</v>
      </c>
      <c r="E77" s="3" t="s">
        <v>278</v>
      </c>
      <c r="F77" s="4"/>
      <c r="G77" s="16" t="s">
        <v>207</v>
      </c>
      <c r="H77" s="17">
        <v>26.699408284023669</v>
      </c>
      <c r="I77" s="4" t="s">
        <v>55</v>
      </c>
      <c r="J77" s="4" t="s">
        <v>208</v>
      </c>
      <c r="K77" s="4" t="s">
        <v>33</v>
      </c>
      <c r="L77" s="4" t="s">
        <v>279</v>
      </c>
      <c r="M77" s="18" t="str">
        <f>HYPERLINK("http://slimages.macys.com/is/image/MCY/10974209 ")</f>
        <v xml:space="preserve">http://slimages.macys.com/is/image/MCY/10974209 </v>
      </c>
      <c r="N77" s="19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6" t="s">
        <v>280</v>
      </c>
      <c r="B78" s="4" t="s">
        <v>281</v>
      </c>
      <c r="C78" s="3">
        <v>2</v>
      </c>
      <c r="D78" s="17">
        <v>79.989999999999995</v>
      </c>
      <c r="E78" s="3" t="s">
        <v>282</v>
      </c>
      <c r="F78" s="4" t="s">
        <v>212</v>
      </c>
      <c r="G78" s="16"/>
      <c r="H78" s="17">
        <v>26.542011834319524</v>
      </c>
      <c r="I78" s="4" t="s">
        <v>275</v>
      </c>
      <c r="J78" s="4" t="s">
        <v>283</v>
      </c>
      <c r="K78" s="4" t="s">
        <v>33</v>
      </c>
      <c r="L78" s="4" t="s">
        <v>128</v>
      </c>
      <c r="M78" s="18" t="str">
        <f>HYPERLINK("http://slimages.macys.com/is/image/MCY/8559884 ")</f>
        <v xml:space="preserve">http://slimages.macys.com/is/image/MCY/8559884 </v>
      </c>
      <c r="N78" s="19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6" t="s">
        <v>284</v>
      </c>
      <c r="B79" s="4" t="s">
        <v>285</v>
      </c>
      <c r="C79" s="3">
        <v>1</v>
      </c>
      <c r="D79" s="17">
        <v>82.99</v>
      </c>
      <c r="E79" s="3" t="s">
        <v>286</v>
      </c>
      <c r="F79" s="4" t="s">
        <v>287</v>
      </c>
      <c r="G79" s="16"/>
      <c r="H79" s="17">
        <v>26.508875739644967</v>
      </c>
      <c r="I79" s="4" t="s">
        <v>44</v>
      </c>
      <c r="J79" s="4" t="s">
        <v>112</v>
      </c>
      <c r="K79" s="4" t="s">
        <v>33</v>
      </c>
      <c r="L79" s="4" t="s">
        <v>128</v>
      </c>
      <c r="M79" s="18" t="str">
        <f>HYPERLINK("http://slimages.macys.com/is/image/MCY/15417949 ")</f>
        <v xml:space="preserve">http://slimages.macys.com/is/image/MCY/15417949 </v>
      </c>
      <c r="N79" s="19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6" t="s">
        <v>288</v>
      </c>
      <c r="B80" s="4" t="s">
        <v>289</v>
      </c>
      <c r="C80" s="3">
        <v>1</v>
      </c>
      <c r="D80" s="17">
        <v>82.99</v>
      </c>
      <c r="E80" s="3" t="s">
        <v>290</v>
      </c>
      <c r="F80" s="4" t="s">
        <v>216</v>
      </c>
      <c r="G80" s="16"/>
      <c r="H80" s="17">
        <v>26.508875739644967</v>
      </c>
      <c r="I80" s="4" t="s">
        <v>44</v>
      </c>
      <c r="J80" s="4" t="s">
        <v>112</v>
      </c>
      <c r="K80" s="4" t="s">
        <v>33</v>
      </c>
      <c r="L80" s="4" t="s">
        <v>128</v>
      </c>
      <c r="M80" s="18" t="str">
        <f>HYPERLINK("http://slimages.macys.com/is/image/MCY/13814890 ")</f>
        <v xml:space="preserve">http://slimages.macys.com/is/image/MCY/13814890 </v>
      </c>
      <c r="N80" s="19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6" t="s">
        <v>291</v>
      </c>
      <c r="B81" s="4" t="s">
        <v>292</v>
      </c>
      <c r="C81" s="3">
        <v>1</v>
      </c>
      <c r="D81" s="17">
        <v>64.989999999999995</v>
      </c>
      <c r="E81" s="3" t="s">
        <v>293</v>
      </c>
      <c r="F81" s="4" t="s">
        <v>294</v>
      </c>
      <c r="G81" s="16"/>
      <c r="H81" s="17">
        <v>25.680473372781062</v>
      </c>
      <c r="I81" s="4" t="s">
        <v>55</v>
      </c>
      <c r="J81" s="4" t="s">
        <v>295</v>
      </c>
      <c r="K81" s="4" t="s">
        <v>33</v>
      </c>
      <c r="L81" s="4" t="s">
        <v>296</v>
      </c>
      <c r="M81" s="18" t="str">
        <f>HYPERLINK("http://slimages.macys.com/is/image/MCY/10144805 ")</f>
        <v xml:space="preserve">http://slimages.macys.com/is/image/MCY/10144805 </v>
      </c>
      <c r="N81" s="19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6" t="s">
        <v>297</v>
      </c>
      <c r="B82" s="4" t="s">
        <v>298</v>
      </c>
      <c r="C82" s="3">
        <v>1</v>
      </c>
      <c r="D82" s="17">
        <v>79.989999999999995</v>
      </c>
      <c r="E82" s="3" t="s">
        <v>299</v>
      </c>
      <c r="F82" s="4" t="s">
        <v>300</v>
      </c>
      <c r="G82" s="16"/>
      <c r="H82" s="17">
        <v>25.514792899408281</v>
      </c>
      <c r="I82" s="4" t="s">
        <v>44</v>
      </c>
      <c r="J82" s="4" t="s">
        <v>301</v>
      </c>
      <c r="K82" s="4"/>
      <c r="L82" s="4"/>
      <c r="M82" s="18" t="str">
        <f>HYPERLINK("http://slimages.macys.com/is/image/MCY/17901962 ")</f>
        <v xml:space="preserve">http://slimages.macys.com/is/image/MCY/17901962 </v>
      </c>
      <c r="N82" s="19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6" t="s">
        <v>302</v>
      </c>
      <c r="B83" s="4" t="s">
        <v>303</v>
      </c>
      <c r="C83" s="3">
        <v>1</v>
      </c>
      <c r="D83" s="17">
        <v>49.99</v>
      </c>
      <c r="E83" s="3">
        <v>21415338</v>
      </c>
      <c r="F83" s="4" t="s">
        <v>38</v>
      </c>
      <c r="G83" s="16"/>
      <c r="H83" s="17">
        <v>25.440236686390531</v>
      </c>
      <c r="I83" s="4" t="s">
        <v>253</v>
      </c>
      <c r="J83" s="4" t="s">
        <v>254</v>
      </c>
      <c r="K83" s="4" t="s">
        <v>33</v>
      </c>
      <c r="L83" s="4"/>
      <c r="M83" s="18" t="str">
        <f>HYPERLINK("http://slimages.macys.com/is/image/MCY/15103695 ")</f>
        <v xml:space="preserve">http://slimages.macys.com/is/image/MCY/15103695 </v>
      </c>
      <c r="N83" s="19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6" t="s">
        <v>304</v>
      </c>
      <c r="B84" s="4" t="s">
        <v>305</v>
      </c>
      <c r="C84" s="3">
        <v>1</v>
      </c>
      <c r="D84" s="17">
        <v>66.989999999999995</v>
      </c>
      <c r="E84" s="3" t="s">
        <v>306</v>
      </c>
      <c r="F84" s="4" t="s">
        <v>102</v>
      </c>
      <c r="G84" s="16"/>
      <c r="H84" s="17">
        <v>24.810650887573964</v>
      </c>
      <c r="I84" s="4" t="s">
        <v>55</v>
      </c>
      <c r="J84" s="4" t="s">
        <v>208</v>
      </c>
      <c r="K84" s="4"/>
      <c r="L84" s="4"/>
      <c r="M84" s="18" t="str">
        <f>HYPERLINK("http://slimages.macys.com/is/image/MCY/18527707 ")</f>
        <v xml:space="preserve">http://slimages.macys.com/is/image/MCY/18527707 </v>
      </c>
      <c r="N84" s="19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6" t="s">
        <v>307</v>
      </c>
      <c r="B85" s="4" t="s">
        <v>308</v>
      </c>
      <c r="C85" s="3">
        <v>1</v>
      </c>
      <c r="D85" s="17">
        <v>138.99</v>
      </c>
      <c r="E85" s="3" t="s">
        <v>309</v>
      </c>
      <c r="F85" s="4" t="s">
        <v>116</v>
      </c>
      <c r="G85" s="16"/>
      <c r="H85" s="17">
        <v>23.998816568047335</v>
      </c>
      <c r="I85" s="4" t="s">
        <v>55</v>
      </c>
      <c r="J85" s="4" t="s">
        <v>45</v>
      </c>
      <c r="K85" s="4"/>
      <c r="L85" s="4"/>
      <c r="M85" s="18" t="str">
        <f>HYPERLINK("http://slimages.macys.com/is/image/MCY/18666144 ")</f>
        <v xml:space="preserve">http://slimages.macys.com/is/image/MCY/18666144 </v>
      </c>
      <c r="N85" s="19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6" t="s">
        <v>310</v>
      </c>
      <c r="B86" s="4" t="s">
        <v>311</v>
      </c>
      <c r="C86" s="3">
        <v>2</v>
      </c>
      <c r="D86" s="17">
        <v>79.989999999999995</v>
      </c>
      <c r="E86" s="3" t="s">
        <v>312</v>
      </c>
      <c r="F86" s="4"/>
      <c r="G86" s="16"/>
      <c r="H86" s="17">
        <v>23.940828402366861</v>
      </c>
      <c r="I86" s="4" t="s">
        <v>137</v>
      </c>
      <c r="J86" s="4" t="s">
        <v>138</v>
      </c>
      <c r="K86" s="4"/>
      <c r="L86" s="4"/>
      <c r="M86" s="18" t="str">
        <f t="shared" ref="M86:M87" si="5">HYPERLINK("http://slimages.macys.com/is/image/MCY/19760305 ")</f>
        <v xml:space="preserve">http://slimages.macys.com/is/image/MCY/19760305 </v>
      </c>
      <c r="N86" s="19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6" t="s">
        <v>310</v>
      </c>
      <c r="B87" s="4" t="s">
        <v>311</v>
      </c>
      <c r="C87" s="3">
        <v>1</v>
      </c>
      <c r="D87" s="17">
        <v>79.989999999999995</v>
      </c>
      <c r="E87" s="3" t="s">
        <v>312</v>
      </c>
      <c r="F87" s="4"/>
      <c r="G87" s="16"/>
      <c r="H87" s="17">
        <v>23.940828402366861</v>
      </c>
      <c r="I87" s="4" t="s">
        <v>137</v>
      </c>
      <c r="J87" s="4" t="s">
        <v>138</v>
      </c>
      <c r="K87" s="4"/>
      <c r="L87" s="4"/>
      <c r="M87" s="18" t="str">
        <f t="shared" si="5"/>
        <v xml:space="preserve">http://slimages.macys.com/is/image/MCY/19760305 </v>
      </c>
      <c r="N87" s="19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6" t="s">
        <v>313</v>
      </c>
      <c r="B88" s="4" t="s">
        <v>314</v>
      </c>
      <c r="C88" s="3">
        <v>2</v>
      </c>
      <c r="D88" s="17">
        <v>65.989999999999995</v>
      </c>
      <c r="E88" s="3" t="s">
        <v>315</v>
      </c>
      <c r="F88" s="4" t="s">
        <v>102</v>
      </c>
      <c r="G88" s="16"/>
      <c r="H88" s="17">
        <v>23.820118343195265</v>
      </c>
      <c r="I88" s="4" t="s">
        <v>44</v>
      </c>
      <c r="J88" s="4" t="s">
        <v>316</v>
      </c>
      <c r="K88" s="4" t="s">
        <v>33</v>
      </c>
      <c r="L88" s="4" t="s">
        <v>317</v>
      </c>
      <c r="M88" s="18" t="str">
        <f>HYPERLINK("http://slimages.macys.com/is/image/MCY/13534563 ")</f>
        <v xml:space="preserve">http://slimages.macys.com/is/image/MCY/13534563 </v>
      </c>
      <c r="N88" s="19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6" t="s">
        <v>318</v>
      </c>
      <c r="B89" s="4" t="s">
        <v>319</v>
      </c>
      <c r="C89" s="3">
        <v>1</v>
      </c>
      <c r="D89" s="17">
        <v>54.99</v>
      </c>
      <c r="E89" s="3">
        <v>21423238</v>
      </c>
      <c r="F89" s="4" t="s">
        <v>60</v>
      </c>
      <c r="G89" s="16"/>
      <c r="H89" s="17">
        <v>23.775147928994084</v>
      </c>
      <c r="I89" s="4" t="s">
        <v>253</v>
      </c>
      <c r="J89" s="4" t="s">
        <v>254</v>
      </c>
      <c r="K89" s="4" t="s">
        <v>33</v>
      </c>
      <c r="L89" s="4" t="s">
        <v>320</v>
      </c>
      <c r="M89" s="18" t="str">
        <f>HYPERLINK("http://slimages.macys.com/is/image/MCY/15103695 ")</f>
        <v xml:space="preserve">http://slimages.macys.com/is/image/MCY/15103695 </v>
      </c>
      <c r="N89" s="19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6" t="s">
        <v>321</v>
      </c>
      <c r="B90" s="4" t="s">
        <v>322</v>
      </c>
      <c r="C90" s="3">
        <v>4</v>
      </c>
      <c r="D90" s="17">
        <v>61.99</v>
      </c>
      <c r="E90" s="3" t="s">
        <v>323</v>
      </c>
      <c r="F90" s="4" t="s">
        <v>324</v>
      </c>
      <c r="G90" s="16"/>
      <c r="H90" s="17">
        <v>23.697041420118342</v>
      </c>
      <c r="I90" s="4" t="s">
        <v>44</v>
      </c>
      <c r="J90" s="4" t="s">
        <v>325</v>
      </c>
      <c r="K90" s="4" t="s">
        <v>33</v>
      </c>
      <c r="L90" s="4" t="s">
        <v>151</v>
      </c>
      <c r="M90" s="18" t="str">
        <f>HYPERLINK("http://slimages.macys.com/is/image/MCY/11544419 ")</f>
        <v xml:space="preserve">http://slimages.macys.com/is/image/MCY/11544419 </v>
      </c>
      <c r="N90" s="19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6" t="s">
        <v>326</v>
      </c>
      <c r="B91" s="4" t="s">
        <v>327</v>
      </c>
      <c r="C91" s="3">
        <v>1</v>
      </c>
      <c r="D91" s="17">
        <v>77.989999999999995</v>
      </c>
      <c r="E91" s="3" t="s">
        <v>328</v>
      </c>
      <c r="F91" s="4" t="s">
        <v>216</v>
      </c>
      <c r="G91" s="16"/>
      <c r="H91" s="17">
        <v>23.576331360946746</v>
      </c>
      <c r="I91" s="4" t="s">
        <v>55</v>
      </c>
      <c r="J91" s="4" t="s">
        <v>127</v>
      </c>
      <c r="K91" s="4" t="s">
        <v>33</v>
      </c>
      <c r="L91" s="4" t="s">
        <v>329</v>
      </c>
      <c r="M91" s="18" t="str">
        <f>HYPERLINK("http://slimages.macys.com/is/image/MCY/10005647 ")</f>
        <v xml:space="preserve">http://slimages.macys.com/is/image/MCY/10005647 </v>
      </c>
      <c r="N91" s="19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6" t="s">
        <v>330</v>
      </c>
      <c r="B92" s="4" t="s">
        <v>331</v>
      </c>
      <c r="C92" s="3">
        <v>1</v>
      </c>
      <c r="D92" s="17">
        <v>49.99</v>
      </c>
      <c r="E92" s="3" t="s">
        <v>332</v>
      </c>
      <c r="F92" s="4" t="s">
        <v>333</v>
      </c>
      <c r="G92" s="16" t="s">
        <v>149</v>
      </c>
      <c r="H92" s="17">
        <v>23.289940828402365</v>
      </c>
      <c r="I92" s="4" t="s">
        <v>44</v>
      </c>
      <c r="J92" s="4" t="s">
        <v>127</v>
      </c>
      <c r="K92" s="4" t="s">
        <v>33</v>
      </c>
      <c r="L92" s="4" t="s">
        <v>334</v>
      </c>
      <c r="M92" s="18" t="str">
        <f>HYPERLINK("http://slimages.macys.com/is/image/MCY/9545849 ")</f>
        <v xml:space="preserve">http://slimages.macys.com/is/image/MCY/9545849 </v>
      </c>
      <c r="N92" s="19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6" t="s">
        <v>335</v>
      </c>
      <c r="B93" s="4" t="s">
        <v>336</v>
      </c>
      <c r="C93" s="3">
        <v>1</v>
      </c>
      <c r="D93" s="17">
        <v>133.99</v>
      </c>
      <c r="E93" s="3" t="s">
        <v>337</v>
      </c>
      <c r="F93" s="4" t="s">
        <v>116</v>
      </c>
      <c r="G93" s="16"/>
      <c r="H93" s="17">
        <v>22.805917159763311</v>
      </c>
      <c r="I93" s="4" t="s">
        <v>55</v>
      </c>
      <c r="J93" s="4" t="s">
        <v>45</v>
      </c>
      <c r="K93" s="4" t="s">
        <v>33</v>
      </c>
      <c r="L93" s="4" t="s">
        <v>338</v>
      </c>
      <c r="M93" s="18" t="str">
        <f>HYPERLINK("http://slimages.macys.com/is/image/MCY/12933465 ")</f>
        <v xml:space="preserve">http://slimages.macys.com/is/image/MCY/12933465 </v>
      </c>
      <c r="N93" s="19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6" t="s">
        <v>339</v>
      </c>
      <c r="B94" s="4" t="s">
        <v>340</v>
      </c>
      <c r="C94" s="3">
        <v>1</v>
      </c>
      <c r="D94" s="17">
        <v>33.99</v>
      </c>
      <c r="E94" s="3" t="s">
        <v>341</v>
      </c>
      <c r="F94" s="4" t="s">
        <v>72</v>
      </c>
      <c r="G94" s="16"/>
      <c r="H94" s="17">
        <v>22.781065088757394</v>
      </c>
      <c r="I94" s="4" t="s">
        <v>275</v>
      </c>
      <c r="J94" s="4" t="s">
        <v>45</v>
      </c>
      <c r="K94" s="4" t="s">
        <v>33</v>
      </c>
      <c r="L94" s="4" t="s">
        <v>39</v>
      </c>
      <c r="M94" s="18" t="str">
        <f>HYPERLINK("http://slimages.macys.com/is/image/MCY/10764970 ")</f>
        <v xml:space="preserve">http://slimages.macys.com/is/image/MCY/10764970 </v>
      </c>
      <c r="N94" s="19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6" t="s">
        <v>342</v>
      </c>
      <c r="B95" s="4" t="s">
        <v>343</v>
      </c>
      <c r="C95" s="3">
        <v>1</v>
      </c>
      <c r="D95" s="17">
        <v>69.989999999999995</v>
      </c>
      <c r="E95" s="3" t="s">
        <v>344</v>
      </c>
      <c r="F95" s="4" t="s">
        <v>345</v>
      </c>
      <c r="G95" s="16"/>
      <c r="H95" s="17">
        <v>21.60473372781065</v>
      </c>
      <c r="I95" s="4" t="s">
        <v>275</v>
      </c>
      <c r="J95" s="4" t="s">
        <v>346</v>
      </c>
      <c r="K95" s="4" t="s">
        <v>33</v>
      </c>
      <c r="L95" s="4"/>
      <c r="M95" s="18" t="str">
        <f>HYPERLINK("http://slimages.macys.com/is/image/MCY/10249494 ")</f>
        <v xml:space="preserve">http://slimages.macys.com/is/image/MCY/10249494 </v>
      </c>
      <c r="N95" s="19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6" t="s">
        <v>347</v>
      </c>
      <c r="B96" s="4" t="s">
        <v>348</v>
      </c>
      <c r="C96" s="3">
        <v>1</v>
      </c>
      <c r="D96" s="17">
        <v>75.989999999999995</v>
      </c>
      <c r="E96" s="3" t="s">
        <v>349</v>
      </c>
      <c r="F96" s="4" t="s">
        <v>212</v>
      </c>
      <c r="G96" s="16"/>
      <c r="H96" s="17">
        <v>21.538461538461537</v>
      </c>
      <c r="I96" s="4" t="s">
        <v>55</v>
      </c>
      <c r="J96" s="4" t="s">
        <v>350</v>
      </c>
      <c r="K96" s="4" t="s">
        <v>33</v>
      </c>
      <c r="L96" s="4" t="s">
        <v>351</v>
      </c>
      <c r="M96" s="18" t="str">
        <f>HYPERLINK("http://slimages.macys.com/is/image/MCY/12678052 ")</f>
        <v xml:space="preserve">http://slimages.macys.com/is/image/MCY/12678052 </v>
      </c>
      <c r="N96" s="19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6" t="s">
        <v>352</v>
      </c>
      <c r="B97" s="4" t="s">
        <v>353</v>
      </c>
      <c r="C97" s="3">
        <v>1</v>
      </c>
      <c r="D97" s="17">
        <v>49.99</v>
      </c>
      <c r="E97" s="3" t="s">
        <v>354</v>
      </c>
      <c r="F97" s="4" t="s">
        <v>355</v>
      </c>
      <c r="G97" s="16"/>
      <c r="H97" s="17">
        <v>20.925443786982246</v>
      </c>
      <c r="I97" s="4" t="s">
        <v>356</v>
      </c>
      <c r="J97" s="4" t="s">
        <v>357</v>
      </c>
      <c r="K97" s="4" t="s">
        <v>33</v>
      </c>
      <c r="L97" s="4" t="s">
        <v>358</v>
      </c>
      <c r="M97" s="18" t="str">
        <f>HYPERLINK("http://slimages.macys.com/is/image/MCY/748990 ")</f>
        <v xml:space="preserve">http://slimages.macys.com/is/image/MCY/748990 </v>
      </c>
      <c r="N97" s="19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6" t="s">
        <v>359</v>
      </c>
      <c r="B98" s="4" t="s">
        <v>360</v>
      </c>
      <c r="C98" s="3">
        <v>1</v>
      </c>
      <c r="D98" s="17">
        <v>116.99</v>
      </c>
      <c r="E98" s="3" t="s">
        <v>361</v>
      </c>
      <c r="F98" s="4" t="s">
        <v>116</v>
      </c>
      <c r="G98" s="16"/>
      <c r="H98" s="17">
        <v>20.271005917159762</v>
      </c>
      <c r="I98" s="4" t="s">
        <v>55</v>
      </c>
      <c r="J98" s="4" t="s">
        <v>45</v>
      </c>
      <c r="K98" s="4" t="s">
        <v>33</v>
      </c>
      <c r="L98" s="4" t="s">
        <v>338</v>
      </c>
      <c r="M98" s="18" t="str">
        <f>HYPERLINK("http://slimages.macys.com/is/image/MCY/12933414 ")</f>
        <v xml:space="preserve">http://slimages.macys.com/is/image/MCY/12933414 </v>
      </c>
      <c r="N98" s="19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6" t="s">
        <v>362</v>
      </c>
      <c r="B99" s="4" t="s">
        <v>363</v>
      </c>
      <c r="C99" s="3">
        <v>1</v>
      </c>
      <c r="D99" s="17">
        <v>66.989999999999995</v>
      </c>
      <c r="E99" s="3" t="s">
        <v>364</v>
      </c>
      <c r="F99" s="4" t="s">
        <v>216</v>
      </c>
      <c r="G99" s="16"/>
      <c r="H99" s="17">
        <v>20.204733727810648</v>
      </c>
      <c r="I99" s="4" t="s">
        <v>55</v>
      </c>
      <c r="J99" s="4" t="s">
        <v>127</v>
      </c>
      <c r="K99" s="4" t="s">
        <v>33</v>
      </c>
      <c r="L99" s="4" t="s">
        <v>128</v>
      </c>
      <c r="M99" s="18" t="str">
        <f>HYPERLINK("http://slimages.macys.com/is/image/MCY/10005647 ")</f>
        <v xml:space="preserve">http://slimages.macys.com/is/image/MCY/10005647 </v>
      </c>
      <c r="N99" s="19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6" t="s">
        <v>365</v>
      </c>
      <c r="B100" s="4" t="s">
        <v>366</v>
      </c>
      <c r="C100" s="3">
        <v>1</v>
      </c>
      <c r="D100" s="17">
        <v>42.99</v>
      </c>
      <c r="E100" s="3" t="s">
        <v>367</v>
      </c>
      <c r="F100" s="4" t="s">
        <v>49</v>
      </c>
      <c r="G100" s="16"/>
      <c r="H100" s="17">
        <v>19.682840236686388</v>
      </c>
      <c r="I100" s="4" t="s">
        <v>44</v>
      </c>
      <c r="J100" s="4" t="s">
        <v>45</v>
      </c>
      <c r="K100" s="4" t="s">
        <v>33</v>
      </c>
      <c r="L100" s="4" t="s">
        <v>368</v>
      </c>
      <c r="M100" s="18" t="str">
        <f>HYPERLINK("http://slimages.macys.com/is/image/MCY/9912812 ")</f>
        <v xml:space="preserve">http://slimages.macys.com/is/image/MCY/9912812 </v>
      </c>
      <c r="N100" s="19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6" t="s">
        <v>369</v>
      </c>
      <c r="B101" s="4" t="s">
        <v>370</v>
      </c>
      <c r="C101" s="3">
        <v>1</v>
      </c>
      <c r="D101" s="17">
        <v>58.99</v>
      </c>
      <c r="E101" s="3" t="s">
        <v>371</v>
      </c>
      <c r="F101" s="4" t="s">
        <v>372</v>
      </c>
      <c r="G101" s="16"/>
      <c r="H101" s="17">
        <v>19.467455621301774</v>
      </c>
      <c r="I101" s="4" t="s">
        <v>55</v>
      </c>
      <c r="J101" s="4" t="s">
        <v>373</v>
      </c>
      <c r="K101" s="4" t="s">
        <v>33</v>
      </c>
      <c r="L101" s="4" t="s">
        <v>374</v>
      </c>
      <c r="M101" s="18" t="str">
        <f>HYPERLINK("http://slimages.macys.com/is/image/MCY/14540133 ")</f>
        <v xml:space="preserve">http://slimages.macys.com/is/image/MCY/14540133 </v>
      </c>
      <c r="N101" s="19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6" t="s">
        <v>375</v>
      </c>
      <c r="B102" s="4" t="s">
        <v>376</v>
      </c>
      <c r="C102" s="3">
        <v>2</v>
      </c>
      <c r="D102" s="17">
        <v>49.99</v>
      </c>
      <c r="E102" s="3" t="s">
        <v>377</v>
      </c>
      <c r="F102" s="4" t="s">
        <v>38</v>
      </c>
      <c r="G102" s="16"/>
      <c r="H102" s="17">
        <v>19.467455621301774</v>
      </c>
      <c r="I102" s="4" t="s">
        <v>253</v>
      </c>
      <c r="J102" s="4" t="s">
        <v>378</v>
      </c>
      <c r="K102" s="4"/>
      <c r="L102" s="4"/>
      <c r="M102" s="18" t="str">
        <f>HYPERLINK("http://slimages.macys.com/is/image/MCY/18951269 ")</f>
        <v xml:space="preserve">http://slimages.macys.com/is/image/MCY/18951269 </v>
      </c>
      <c r="N102" s="19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6" t="s">
        <v>379</v>
      </c>
      <c r="B103" s="4" t="s">
        <v>380</v>
      </c>
      <c r="C103" s="3">
        <v>1</v>
      </c>
      <c r="D103" s="17">
        <v>49.99</v>
      </c>
      <c r="E103" s="3" t="s">
        <v>381</v>
      </c>
      <c r="F103" s="4" t="s">
        <v>30</v>
      </c>
      <c r="G103" s="16"/>
      <c r="H103" s="17">
        <v>19.467455621301774</v>
      </c>
      <c r="I103" s="4" t="s">
        <v>253</v>
      </c>
      <c r="J103" s="4" t="s">
        <v>378</v>
      </c>
      <c r="K103" s="4"/>
      <c r="L103" s="4"/>
      <c r="M103" s="18" t="str">
        <f t="shared" ref="M103:M104" si="6">HYPERLINK("http://slimages.macys.com/is/image/MCY/18035146 ")</f>
        <v xml:space="preserve">http://slimages.macys.com/is/image/MCY/18035146 </v>
      </c>
      <c r="N103" s="19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6" t="s">
        <v>382</v>
      </c>
      <c r="B104" s="4" t="s">
        <v>383</v>
      </c>
      <c r="C104" s="3">
        <v>10</v>
      </c>
      <c r="D104" s="17">
        <v>49.99</v>
      </c>
      <c r="E104" s="3" t="s">
        <v>384</v>
      </c>
      <c r="F104" s="4" t="s">
        <v>30</v>
      </c>
      <c r="G104" s="16"/>
      <c r="H104" s="17">
        <v>19.467455621301774</v>
      </c>
      <c r="I104" s="4" t="s">
        <v>253</v>
      </c>
      <c r="J104" s="4" t="s">
        <v>378</v>
      </c>
      <c r="K104" s="4"/>
      <c r="L104" s="4"/>
      <c r="M104" s="18" t="str">
        <f t="shared" si="6"/>
        <v xml:space="preserve">http://slimages.macys.com/is/image/MCY/18035146 </v>
      </c>
      <c r="N104" s="19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6" t="s">
        <v>385</v>
      </c>
      <c r="B105" s="4" t="s">
        <v>386</v>
      </c>
      <c r="C105" s="3">
        <v>1</v>
      </c>
      <c r="D105" s="17">
        <v>39.99</v>
      </c>
      <c r="E105" s="3">
        <v>3972</v>
      </c>
      <c r="F105" s="4" t="s">
        <v>38</v>
      </c>
      <c r="G105" s="16"/>
      <c r="H105" s="17">
        <v>18.840236686390529</v>
      </c>
      <c r="I105" s="4" t="s">
        <v>64</v>
      </c>
      <c r="J105" s="4" t="s">
        <v>387</v>
      </c>
      <c r="K105" s="4" t="s">
        <v>33</v>
      </c>
      <c r="L105" s="4" t="s">
        <v>123</v>
      </c>
      <c r="M105" s="18" t="str">
        <f>HYPERLINK("http://slimages.macys.com/is/image/MCY/14370781 ")</f>
        <v xml:space="preserve">http://slimages.macys.com/is/image/MCY/14370781 </v>
      </c>
      <c r="N105" s="19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6" t="s">
        <v>388</v>
      </c>
      <c r="B106" s="4" t="s">
        <v>389</v>
      </c>
      <c r="C106" s="3">
        <v>1</v>
      </c>
      <c r="D106" s="17">
        <v>69.989999999999995</v>
      </c>
      <c r="E106" s="3" t="s">
        <v>390</v>
      </c>
      <c r="F106" s="4" t="s">
        <v>176</v>
      </c>
      <c r="G106" s="16"/>
      <c r="H106" s="17">
        <v>18.713609467455619</v>
      </c>
      <c r="I106" s="4" t="s">
        <v>391</v>
      </c>
      <c r="J106" s="4" t="s">
        <v>392</v>
      </c>
      <c r="K106" s="4"/>
      <c r="L106" s="4"/>
      <c r="M106" s="18" t="str">
        <f>HYPERLINK("http://slimages.macys.com/is/image/MCY/19443444 ")</f>
        <v xml:space="preserve">http://slimages.macys.com/is/image/MCY/19443444 </v>
      </c>
      <c r="N106" s="19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6" t="s">
        <v>393</v>
      </c>
      <c r="B107" s="4" t="s">
        <v>394</v>
      </c>
      <c r="C107" s="3">
        <v>4</v>
      </c>
      <c r="D107" s="17">
        <v>36.99</v>
      </c>
      <c r="E107" s="3" t="s">
        <v>395</v>
      </c>
      <c r="F107" s="4" t="s">
        <v>38</v>
      </c>
      <c r="G107" s="16"/>
      <c r="H107" s="17">
        <v>18.698224852071004</v>
      </c>
      <c r="I107" s="4" t="s">
        <v>44</v>
      </c>
      <c r="J107" s="4" t="s">
        <v>45</v>
      </c>
      <c r="K107" s="4" t="s">
        <v>33</v>
      </c>
      <c r="L107" s="4" t="s">
        <v>396</v>
      </c>
      <c r="M107" s="18" t="str">
        <f>HYPERLINK("http://slimages.macys.com/is/image/MCY/9534555 ")</f>
        <v xml:space="preserve">http://slimages.macys.com/is/image/MCY/9534555 </v>
      </c>
      <c r="N107" s="19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6" t="s">
        <v>397</v>
      </c>
      <c r="B108" s="4" t="s">
        <v>398</v>
      </c>
      <c r="C108" s="3">
        <v>1</v>
      </c>
      <c r="D108" s="17">
        <v>49.99</v>
      </c>
      <c r="E108" s="3" t="s">
        <v>399</v>
      </c>
      <c r="F108" s="4" t="s">
        <v>38</v>
      </c>
      <c r="G108" s="16"/>
      <c r="H108" s="17">
        <v>18.614201183431952</v>
      </c>
      <c r="I108" s="4" t="s">
        <v>253</v>
      </c>
      <c r="J108" s="4" t="s">
        <v>378</v>
      </c>
      <c r="K108" s="4"/>
      <c r="L108" s="4"/>
      <c r="M108" s="18" t="str">
        <f t="shared" ref="M108:M109" si="7">HYPERLINK("http://slimages.macys.com/is/image/MCY/17968749 ")</f>
        <v xml:space="preserve">http://slimages.macys.com/is/image/MCY/17968749 </v>
      </c>
      <c r="N108" s="19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6" t="s">
        <v>400</v>
      </c>
      <c r="B109" s="4" t="s">
        <v>401</v>
      </c>
      <c r="C109" s="3">
        <v>1</v>
      </c>
      <c r="D109" s="17">
        <v>49.99</v>
      </c>
      <c r="E109" s="3" t="s">
        <v>402</v>
      </c>
      <c r="F109" s="4" t="s">
        <v>72</v>
      </c>
      <c r="G109" s="16"/>
      <c r="H109" s="17">
        <v>18.614201183431952</v>
      </c>
      <c r="I109" s="4" t="s">
        <v>253</v>
      </c>
      <c r="J109" s="4" t="s">
        <v>378</v>
      </c>
      <c r="K109" s="4"/>
      <c r="L109" s="4"/>
      <c r="M109" s="18" t="str">
        <f t="shared" si="7"/>
        <v xml:space="preserve">http://slimages.macys.com/is/image/MCY/17968749 </v>
      </c>
      <c r="N109" s="19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6" t="s">
        <v>403</v>
      </c>
      <c r="B110" s="4" t="s">
        <v>404</v>
      </c>
      <c r="C110" s="3">
        <v>4</v>
      </c>
      <c r="D110" s="17">
        <v>38.99</v>
      </c>
      <c r="E110" s="3" t="s">
        <v>405</v>
      </c>
      <c r="F110" s="4" t="s">
        <v>406</v>
      </c>
      <c r="G110" s="16"/>
      <c r="H110" s="17">
        <v>18.319526627218934</v>
      </c>
      <c r="I110" s="4" t="s">
        <v>44</v>
      </c>
      <c r="J110" s="4" t="s">
        <v>45</v>
      </c>
      <c r="K110" s="4" t="s">
        <v>33</v>
      </c>
      <c r="L110" s="4" t="s">
        <v>407</v>
      </c>
      <c r="M110" s="18" t="str">
        <f t="shared" ref="M110:M112" si="8">HYPERLINK("http://slimages.macys.com/is/image/MCY/9310362 ")</f>
        <v xml:space="preserve">http://slimages.macys.com/is/image/MCY/9310362 </v>
      </c>
      <c r="N110" s="19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6" t="s">
        <v>408</v>
      </c>
      <c r="B111" s="4" t="s">
        <v>409</v>
      </c>
      <c r="C111" s="3">
        <v>1</v>
      </c>
      <c r="D111" s="17">
        <v>38.99</v>
      </c>
      <c r="E111" s="3" t="s">
        <v>410</v>
      </c>
      <c r="F111" s="4" t="s">
        <v>411</v>
      </c>
      <c r="G111" s="16"/>
      <c r="H111" s="17">
        <v>18.319526627218934</v>
      </c>
      <c r="I111" s="4" t="s">
        <v>44</v>
      </c>
      <c r="J111" s="4" t="s">
        <v>45</v>
      </c>
      <c r="K111" s="4" t="s">
        <v>33</v>
      </c>
      <c r="L111" s="4" t="s">
        <v>407</v>
      </c>
      <c r="M111" s="18" t="str">
        <f t="shared" si="8"/>
        <v xml:space="preserve">http://slimages.macys.com/is/image/MCY/9310362 </v>
      </c>
      <c r="N111" s="19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6" t="s">
        <v>412</v>
      </c>
      <c r="B112" s="4" t="s">
        <v>413</v>
      </c>
      <c r="C112" s="3">
        <v>1</v>
      </c>
      <c r="D112" s="17">
        <v>38.99</v>
      </c>
      <c r="E112" s="3" t="s">
        <v>414</v>
      </c>
      <c r="F112" s="4" t="s">
        <v>30</v>
      </c>
      <c r="G112" s="16"/>
      <c r="H112" s="17">
        <v>18.319526627218934</v>
      </c>
      <c r="I112" s="4" t="s">
        <v>44</v>
      </c>
      <c r="J112" s="4" t="s">
        <v>45</v>
      </c>
      <c r="K112" s="4" t="s">
        <v>33</v>
      </c>
      <c r="L112" s="4" t="s">
        <v>407</v>
      </c>
      <c r="M112" s="18" t="str">
        <f t="shared" si="8"/>
        <v xml:space="preserve">http://slimages.macys.com/is/image/MCY/9310362 </v>
      </c>
      <c r="N112" s="19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6" t="s">
        <v>415</v>
      </c>
      <c r="B113" s="4" t="s">
        <v>416</v>
      </c>
      <c r="C113" s="3">
        <v>1</v>
      </c>
      <c r="D113" s="17">
        <v>57.99</v>
      </c>
      <c r="E113" s="3" t="s">
        <v>417</v>
      </c>
      <c r="F113" s="4" t="s">
        <v>102</v>
      </c>
      <c r="G113" s="16"/>
      <c r="H113" s="17">
        <v>18.100591715976332</v>
      </c>
      <c r="I113" s="4" t="s">
        <v>55</v>
      </c>
      <c r="J113" s="4" t="s">
        <v>208</v>
      </c>
      <c r="K113" s="4" t="s">
        <v>33</v>
      </c>
      <c r="L113" s="4" t="s">
        <v>128</v>
      </c>
      <c r="M113" s="18" t="str">
        <f>HYPERLINK("http://slimages.macys.com/is/image/MCY/10290998 ")</f>
        <v xml:space="preserve">http://slimages.macys.com/is/image/MCY/10290998 </v>
      </c>
      <c r="N113" s="19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6" t="s">
        <v>418</v>
      </c>
      <c r="B114" s="4" t="s">
        <v>419</v>
      </c>
      <c r="C114" s="3">
        <v>1</v>
      </c>
      <c r="D114" s="17">
        <v>84.99</v>
      </c>
      <c r="E114" s="3" t="s">
        <v>420</v>
      </c>
      <c r="F114" s="4" t="s">
        <v>77</v>
      </c>
      <c r="G114" s="16"/>
      <c r="H114" s="17">
        <v>17.719526627218933</v>
      </c>
      <c r="I114" s="4" t="s">
        <v>55</v>
      </c>
      <c r="J114" s="4" t="s">
        <v>45</v>
      </c>
      <c r="K114" s="4" t="s">
        <v>33</v>
      </c>
      <c r="L114" s="4" t="s">
        <v>421</v>
      </c>
      <c r="M114" s="18" t="str">
        <f>HYPERLINK("http://slimages.macys.com/is/image/MCY/12491302 ")</f>
        <v xml:space="preserve">http://slimages.macys.com/is/image/MCY/12491302 </v>
      </c>
      <c r="N114" s="19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6" t="s">
        <v>422</v>
      </c>
      <c r="B115" s="4" t="s">
        <v>423</v>
      </c>
      <c r="C115" s="3">
        <v>4</v>
      </c>
      <c r="D115" s="17">
        <v>38.99</v>
      </c>
      <c r="E115" s="3" t="s">
        <v>424</v>
      </c>
      <c r="F115" s="4" t="s">
        <v>102</v>
      </c>
      <c r="G115" s="16"/>
      <c r="H115" s="17">
        <v>17.514792899408285</v>
      </c>
      <c r="I115" s="4" t="s">
        <v>44</v>
      </c>
      <c r="J115" s="4" t="s">
        <v>45</v>
      </c>
      <c r="K115" s="4" t="s">
        <v>33</v>
      </c>
      <c r="L115" s="4" t="s">
        <v>128</v>
      </c>
      <c r="M115" s="18" t="str">
        <f>HYPERLINK("http://slimages.macys.com/is/image/MCY/8216566 ")</f>
        <v xml:space="preserve">http://slimages.macys.com/is/image/MCY/8216566 </v>
      </c>
      <c r="N115" s="19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6" t="s">
        <v>425</v>
      </c>
      <c r="B116" s="4" t="s">
        <v>426</v>
      </c>
      <c r="C116" s="3">
        <v>1</v>
      </c>
      <c r="D116" s="17">
        <v>39.99</v>
      </c>
      <c r="E116" s="3">
        <v>201461</v>
      </c>
      <c r="F116" s="4" t="s">
        <v>427</v>
      </c>
      <c r="G116" s="16"/>
      <c r="H116" s="17">
        <v>17.371597633136094</v>
      </c>
      <c r="I116" s="4" t="s">
        <v>428</v>
      </c>
      <c r="J116" s="4" t="s">
        <v>429</v>
      </c>
      <c r="K116" s="4" t="s">
        <v>33</v>
      </c>
      <c r="L116" s="4" t="s">
        <v>430</v>
      </c>
      <c r="M116" s="18" t="str">
        <f>HYPERLINK("http://slimages.macys.com/is/image/MCY/10423621 ")</f>
        <v xml:space="preserve">http://slimages.macys.com/is/image/MCY/10423621 </v>
      </c>
      <c r="N116" s="19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6" t="s">
        <v>431</v>
      </c>
      <c r="B117" s="4" t="s">
        <v>432</v>
      </c>
      <c r="C117" s="3">
        <v>1</v>
      </c>
      <c r="D117" s="17">
        <v>39.99</v>
      </c>
      <c r="E117" s="3" t="s">
        <v>433</v>
      </c>
      <c r="F117" s="4" t="s">
        <v>30</v>
      </c>
      <c r="G117" s="16"/>
      <c r="H117" s="17">
        <v>17.288757396449704</v>
      </c>
      <c r="I117" s="4" t="s">
        <v>253</v>
      </c>
      <c r="J117" s="4" t="s">
        <v>378</v>
      </c>
      <c r="K117" s="4"/>
      <c r="L117" s="4"/>
      <c r="M117" s="18" t="str">
        <f>HYPERLINK("http://slimages.macys.com/is/image/MCY/16524334 ")</f>
        <v xml:space="preserve">http://slimages.macys.com/is/image/MCY/16524334 </v>
      </c>
      <c r="N117" s="19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6" t="s">
        <v>434</v>
      </c>
      <c r="B118" s="4" t="s">
        <v>435</v>
      </c>
      <c r="C118" s="3">
        <v>1</v>
      </c>
      <c r="D118" s="17">
        <v>48.38</v>
      </c>
      <c r="E118" s="3" t="s">
        <v>436</v>
      </c>
      <c r="F118" s="4" t="s">
        <v>116</v>
      </c>
      <c r="G118" s="16"/>
      <c r="H118" s="17">
        <v>17.015384615384615</v>
      </c>
      <c r="I118" s="4" t="s">
        <v>55</v>
      </c>
      <c r="J118" s="4" t="s">
        <v>45</v>
      </c>
      <c r="K118" s="4"/>
      <c r="L118" s="4"/>
      <c r="M118" s="18" t="str">
        <f>HYPERLINK("http://slimages.macys.com/is/image/MCY/17561816 ")</f>
        <v xml:space="preserve">http://slimages.macys.com/is/image/MCY/17561816 </v>
      </c>
      <c r="N118" s="19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6" t="s">
        <v>437</v>
      </c>
      <c r="B119" s="4" t="s">
        <v>438</v>
      </c>
      <c r="C119" s="3">
        <v>2</v>
      </c>
      <c r="D119" s="17">
        <v>37.99</v>
      </c>
      <c r="E119" s="3" t="s">
        <v>439</v>
      </c>
      <c r="F119" s="4" t="s">
        <v>49</v>
      </c>
      <c r="G119" s="16" t="s">
        <v>203</v>
      </c>
      <c r="H119" s="17">
        <v>16.965680473372778</v>
      </c>
      <c r="I119" s="4" t="s">
        <v>44</v>
      </c>
      <c r="J119" s="4" t="s">
        <v>45</v>
      </c>
      <c r="K119" s="4" t="s">
        <v>33</v>
      </c>
      <c r="L119" s="4" t="s">
        <v>440</v>
      </c>
      <c r="M119" s="18" t="str">
        <f t="shared" ref="M119:M121" si="9">HYPERLINK("http://slimages.macys.com/is/image/MCY/9602308 ")</f>
        <v xml:space="preserve">http://slimages.macys.com/is/image/MCY/9602308 </v>
      </c>
      <c r="N119" s="19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6" t="s">
        <v>441</v>
      </c>
      <c r="B120" s="4" t="s">
        <v>442</v>
      </c>
      <c r="C120" s="3">
        <v>3</v>
      </c>
      <c r="D120" s="17">
        <v>37.99</v>
      </c>
      <c r="E120" s="3" t="s">
        <v>443</v>
      </c>
      <c r="F120" s="4" t="s">
        <v>49</v>
      </c>
      <c r="G120" s="16" t="s">
        <v>203</v>
      </c>
      <c r="H120" s="17">
        <v>16.965680473372778</v>
      </c>
      <c r="I120" s="4" t="s">
        <v>44</v>
      </c>
      <c r="J120" s="4" t="s">
        <v>45</v>
      </c>
      <c r="K120" s="4" t="s">
        <v>33</v>
      </c>
      <c r="L120" s="4" t="s">
        <v>440</v>
      </c>
      <c r="M120" s="18" t="str">
        <f t="shared" si="9"/>
        <v xml:space="preserve">http://slimages.macys.com/is/image/MCY/9602308 </v>
      </c>
      <c r="N120" s="19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6" t="s">
        <v>444</v>
      </c>
      <c r="B121" s="4" t="s">
        <v>445</v>
      </c>
      <c r="C121" s="3">
        <v>2</v>
      </c>
      <c r="D121" s="17">
        <v>37.99</v>
      </c>
      <c r="E121" s="3" t="s">
        <v>446</v>
      </c>
      <c r="F121" s="4" t="s">
        <v>82</v>
      </c>
      <c r="G121" s="16" t="s">
        <v>203</v>
      </c>
      <c r="H121" s="17">
        <v>16.965680473372778</v>
      </c>
      <c r="I121" s="4" t="s">
        <v>44</v>
      </c>
      <c r="J121" s="4" t="s">
        <v>45</v>
      </c>
      <c r="K121" s="4" t="s">
        <v>33</v>
      </c>
      <c r="L121" s="4" t="s">
        <v>440</v>
      </c>
      <c r="M121" s="18" t="str">
        <f t="shared" si="9"/>
        <v xml:space="preserve">http://slimages.macys.com/is/image/MCY/9602308 </v>
      </c>
      <c r="N121" s="19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6" t="s">
        <v>447</v>
      </c>
      <c r="B122" s="4" t="s">
        <v>448</v>
      </c>
      <c r="C122" s="3">
        <v>6</v>
      </c>
      <c r="D122" s="17">
        <v>49.99</v>
      </c>
      <c r="E122" s="3" t="s">
        <v>449</v>
      </c>
      <c r="F122" s="4" t="s">
        <v>72</v>
      </c>
      <c r="G122" s="16"/>
      <c r="H122" s="17">
        <v>16.932544378698221</v>
      </c>
      <c r="I122" s="4" t="s">
        <v>253</v>
      </c>
      <c r="J122" s="4" t="s">
        <v>378</v>
      </c>
      <c r="K122" s="4"/>
      <c r="L122" s="4"/>
      <c r="M122" s="18" t="str">
        <f>HYPERLINK("http://slimages.macys.com/is/image/MCY/17968749 ")</f>
        <v xml:space="preserve">http://slimages.macys.com/is/image/MCY/17968749 </v>
      </c>
      <c r="N122" s="19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6" t="s">
        <v>450</v>
      </c>
      <c r="B123" s="4" t="s">
        <v>451</v>
      </c>
      <c r="C123" s="3">
        <v>1</v>
      </c>
      <c r="D123" s="17">
        <v>49.99</v>
      </c>
      <c r="E123" s="3" t="s">
        <v>452</v>
      </c>
      <c r="F123" s="4" t="s">
        <v>49</v>
      </c>
      <c r="G123" s="16"/>
      <c r="H123" s="17">
        <v>16.70887573964497</v>
      </c>
      <c r="I123" s="4" t="s">
        <v>391</v>
      </c>
      <c r="J123" s="4" t="s">
        <v>392</v>
      </c>
      <c r="K123" s="4"/>
      <c r="L123" s="4"/>
      <c r="M123" s="18" t="str">
        <f>HYPERLINK("http://slimages.macys.com/is/image/MCY/19443444 ")</f>
        <v xml:space="preserve">http://slimages.macys.com/is/image/MCY/19443444 </v>
      </c>
      <c r="N123" s="19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6" t="s">
        <v>453</v>
      </c>
      <c r="B124" s="4" t="s">
        <v>454</v>
      </c>
      <c r="C124" s="3">
        <v>4</v>
      </c>
      <c r="D124" s="17">
        <v>35.99</v>
      </c>
      <c r="E124" s="3" t="s">
        <v>455</v>
      </c>
      <c r="F124" s="4" t="s">
        <v>30</v>
      </c>
      <c r="G124" s="16"/>
      <c r="H124" s="17">
        <v>16.662721893491121</v>
      </c>
      <c r="I124" s="4" t="s">
        <v>44</v>
      </c>
      <c r="J124" s="4" t="s">
        <v>45</v>
      </c>
      <c r="K124" s="4" t="s">
        <v>33</v>
      </c>
      <c r="L124" s="4" t="s">
        <v>456</v>
      </c>
      <c r="M124" s="18" t="str">
        <f>HYPERLINK("http://slimages.macys.com/is/image/MCY/9310361 ")</f>
        <v xml:space="preserve">http://slimages.macys.com/is/image/MCY/9310361 </v>
      </c>
      <c r="N124" s="19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6" t="s">
        <v>457</v>
      </c>
      <c r="B125" s="4" t="s">
        <v>458</v>
      </c>
      <c r="C125" s="3">
        <v>2</v>
      </c>
      <c r="D125" s="17">
        <v>52.99</v>
      </c>
      <c r="E125" s="3" t="s">
        <v>459</v>
      </c>
      <c r="F125" s="4" t="s">
        <v>30</v>
      </c>
      <c r="G125" s="16"/>
      <c r="H125" s="17">
        <v>16.584615384615383</v>
      </c>
      <c r="I125" s="4" t="s">
        <v>55</v>
      </c>
      <c r="J125" s="4" t="s">
        <v>45</v>
      </c>
      <c r="K125" s="4" t="s">
        <v>33</v>
      </c>
      <c r="L125" s="4" t="s">
        <v>117</v>
      </c>
      <c r="M125" s="18" t="str">
        <f>HYPERLINK("http://slimages.macys.com/is/image/MCY/9767710 ")</f>
        <v xml:space="preserve">http://slimages.macys.com/is/image/MCY/9767710 </v>
      </c>
      <c r="N125" s="19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6" t="s">
        <v>460</v>
      </c>
      <c r="B126" s="4" t="s">
        <v>461</v>
      </c>
      <c r="C126" s="3">
        <v>1</v>
      </c>
      <c r="D126" s="17">
        <v>34.99</v>
      </c>
      <c r="E126" s="3" t="s">
        <v>462</v>
      </c>
      <c r="F126" s="4" t="s">
        <v>216</v>
      </c>
      <c r="G126" s="16"/>
      <c r="H126" s="17">
        <v>16.463905325443786</v>
      </c>
      <c r="I126" s="4" t="s">
        <v>44</v>
      </c>
      <c r="J126" s="4" t="s">
        <v>45</v>
      </c>
      <c r="K126" s="4" t="s">
        <v>33</v>
      </c>
      <c r="L126" s="4" t="s">
        <v>128</v>
      </c>
      <c r="M126" s="18" t="str">
        <f>HYPERLINK("http://slimages.macys.com/is/image/MCY/9310270 ")</f>
        <v xml:space="preserve">http://slimages.macys.com/is/image/MCY/9310270 </v>
      </c>
      <c r="N126" s="19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6" t="s">
        <v>463</v>
      </c>
      <c r="B127" s="4" t="s">
        <v>464</v>
      </c>
      <c r="C127" s="3">
        <v>1</v>
      </c>
      <c r="D127" s="17">
        <v>59.99</v>
      </c>
      <c r="E127" s="3" t="s">
        <v>465</v>
      </c>
      <c r="F127" s="4" t="s">
        <v>30</v>
      </c>
      <c r="G127" s="16"/>
      <c r="H127" s="17">
        <v>16.385798816568045</v>
      </c>
      <c r="I127" s="4" t="s">
        <v>163</v>
      </c>
      <c r="J127" s="4" t="s">
        <v>164</v>
      </c>
      <c r="K127" s="4"/>
      <c r="L127" s="4"/>
      <c r="M127" s="18" t="str">
        <f>HYPERLINK("http://slimages.macys.com/is/image/MCY/19497889 ")</f>
        <v xml:space="preserve">http://slimages.macys.com/is/image/MCY/19497889 </v>
      </c>
      <c r="N127" s="19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6" t="s">
        <v>466</v>
      </c>
      <c r="B128" s="4" t="s">
        <v>467</v>
      </c>
      <c r="C128" s="3">
        <v>3</v>
      </c>
      <c r="D128" s="17">
        <v>42.99</v>
      </c>
      <c r="E128" s="3" t="s">
        <v>468</v>
      </c>
      <c r="F128" s="4" t="s">
        <v>30</v>
      </c>
      <c r="G128" s="16"/>
      <c r="H128" s="17">
        <v>15.921893491124262</v>
      </c>
      <c r="I128" s="4" t="s">
        <v>55</v>
      </c>
      <c r="J128" s="4" t="s">
        <v>208</v>
      </c>
      <c r="K128" s="4"/>
      <c r="L128" s="4"/>
      <c r="M128" s="18" t="str">
        <f>HYPERLINK("http://slimages.macys.com/is/image/MCY/18528097 ")</f>
        <v xml:space="preserve">http://slimages.macys.com/is/image/MCY/18528097 </v>
      </c>
      <c r="N128" s="19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6" t="s">
        <v>469</v>
      </c>
      <c r="B129" s="4" t="s">
        <v>470</v>
      </c>
      <c r="C129" s="3">
        <v>1</v>
      </c>
      <c r="D129" s="17">
        <v>34.99</v>
      </c>
      <c r="E129" s="3" t="s">
        <v>471</v>
      </c>
      <c r="F129" s="4" t="s">
        <v>49</v>
      </c>
      <c r="G129" s="16" t="s">
        <v>472</v>
      </c>
      <c r="H129" s="17">
        <v>15.90532544378698</v>
      </c>
      <c r="I129" s="4" t="s">
        <v>44</v>
      </c>
      <c r="J129" s="4" t="s">
        <v>45</v>
      </c>
      <c r="K129" s="4" t="s">
        <v>33</v>
      </c>
      <c r="L129" s="4" t="s">
        <v>473</v>
      </c>
      <c r="M129" s="18" t="str">
        <f t="shared" ref="M129:M130" si="10">HYPERLINK("http://slimages.macys.com/is/image/MCY/8810083 ")</f>
        <v xml:space="preserve">http://slimages.macys.com/is/image/MCY/8810083 </v>
      </c>
      <c r="N129" s="19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6" t="s">
        <v>474</v>
      </c>
      <c r="B130" s="4" t="s">
        <v>475</v>
      </c>
      <c r="C130" s="3">
        <v>2</v>
      </c>
      <c r="D130" s="17">
        <v>34.99</v>
      </c>
      <c r="E130" s="3" t="s">
        <v>476</v>
      </c>
      <c r="F130" s="4" t="s">
        <v>30</v>
      </c>
      <c r="G130" s="16"/>
      <c r="H130" s="17">
        <v>15.90532544378698</v>
      </c>
      <c r="I130" s="4" t="s">
        <v>44</v>
      </c>
      <c r="J130" s="4" t="s">
        <v>45</v>
      </c>
      <c r="K130" s="4" t="s">
        <v>33</v>
      </c>
      <c r="L130" s="4" t="s">
        <v>473</v>
      </c>
      <c r="M130" s="18" t="str">
        <f t="shared" si="10"/>
        <v xml:space="preserve">http://slimages.macys.com/is/image/MCY/8810083 </v>
      </c>
      <c r="N130" s="19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6" t="s">
        <v>477</v>
      </c>
      <c r="B131" s="4" t="s">
        <v>478</v>
      </c>
      <c r="C131" s="3">
        <v>2</v>
      </c>
      <c r="D131" s="17">
        <v>55.99</v>
      </c>
      <c r="E131" s="3" t="s">
        <v>479</v>
      </c>
      <c r="F131" s="4" t="s">
        <v>49</v>
      </c>
      <c r="G131" s="16"/>
      <c r="H131" s="17">
        <v>15.739644970414203</v>
      </c>
      <c r="I131" s="4" t="s">
        <v>55</v>
      </c>
      <c r="J131" s="4" t="s">
        <v>350</v>
      </c>
      <c r="K131" s="4" t="s">
        <v>33</v>
      </c>
      <c r="L131" s="4" t="s">
        <v>480</v>
      </c>
      <c r="M131" s="18" t="str">
        <f>HYPERLINK("http://slimages.macys.com/is/image/MCY/12677342 ")</f>
        <v xml:space="preserve">http://slimages.macys.com/is/image/MCY/12677342 </v>
      </c>
      <c r="N131" s="19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6" t="s">
        <v>481</v>
      </c>
      <c r="B132" s="4" t="s">
        <v>482</v>
      </c>
      <c r="C132" s="3">
        <v>1</v>
      </c>
      <c r="D132" s="17">
        <v>69.989999999999995</v>
      </c>
      <c r="E132" s="3" t="s">
        <v>483</v>
      </c>
      <c r="F132" s="4" t="s">
        <v>235</v>
      </c>
      <c r="G132" s="16"/>
      <c r="H132" s="17">
        <v>15.731360946745561</v>
      </c>
      <c r="I132" s="4" t="s">
        <v>484</v>
      </c>
      <c r="J132" s="4" t="s">
        <v>485</v>
      </c>
      <c r="K132" s="4"/>
      <c r="L132" s="4"/>
      <c r="M132" s="18" t="str">
        <f>HYPERLINK("http://slimages.macys.com/is/image/MCY/18047526 ")</f>
        <v xml:space="preserve">http://slimages.macys.com/is/image/MCY/18047526 </v>
      </c>
      <c r="N132" s="19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6" t="s">
        <v>486</v>
      </c>
      <c r="B133" s="4" t="s">
        <v>487</v>
      </c>
      <c r="C133" s="3">
        <v>1</v>
      </c>
      <c r="D133" s="17">
        <v>49.99</v>
      </c>
      <c r="E133" s="3" t="s">
        <v>488</v>
      </c>
      <c r="F133" s="4" t="s">
        <v>333</v>
      </c>
      <c r="G133" s="16"/>
      <c r="H133" s="17">
        <v>15.648520710059172</v>
      </c>
      <c r="I133" s="4" t="s">
        <v>253</v>
      </c>
      <c r="J133" s="4" t="s">
        <v>378</v>
      </c>
      <c r="K133" s="4"/>
      <c r="L133" s="4"/>
      <c r="M133" s="18" t="str">
        <f t="shared" ref="M133:M134" si="11">HYPERLINK("http://slimages.macys.com/is/image/MCY/17968749 ")</f>
        <v xml:space="preserve">http://slimages.macys.com/is/image/MCY/17968749 </v>
      </c>
      <c r="N133" s="19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6" t="s">
        <v>486</v>
      </c>
      <c r="B134" s="4" t="s">
        <v>487</v>
      </c>
      <c r="C134" s="3">
        <v>19</v>
      </c>
      <c r="D134" s="17">
        <v>49.99</v>
      </c>
      <c r="E134" s="3" t="s">
        <v>488</v>
      </c>
      <c r="F134" s="4" t="s">
        <v>333</v>
      </c>
      <c r="G134" s="16"/>
      <c r="H134" s="17">
        <v>15.648520710059172</v>
      </c>
      <c r="I134" s="4" t="s">
        <v>253</v>
      </c>
      <c r="J134" s="4" t="s">
        <v>378</v>
      </c>
      <c r="K134" s="4"/>
      <c r="L134" s="4"/>
      <c r="M134" s="18" t="str">
        <f t="shared" si="11"/>
        <v xml:space="preserve">http://slimages.macys.com/is/image/MCY/17968749 </v>
      </c>
      <c r="N134" s="19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6" t="s">
        <v>489</v>
      </c>
      <c r="B135" s="4" t="s">
        <v>490</v>
      </c>
      <c r="C135" s="3">
        <v>1</v>
      </c>
      <c r="D135" s="17">
        <v>32</v>
      </c>
      <c r="E135" s="3" t="s">
        <v>491</v>
      </c>
      <c r="F135" s="4" t="s">
        <v>38</v>
      </c>
      <c r="G135" s="16" t="s">
        <v>203</v>
      </c>
      <c r="H135" s="17">
        <v>15.147928994082841</v>
      </c>
      <c r="I135" s="4" t="s">
        <v>44</v>
      </c>
      <c r="J135" s="4" t="s">
        <v>492</v>
      </c>
      <c r="K135" s="4" t="s">
        <v>33</v>
      </c>
      <c r="L135" s="4" t="s">
        <v>320</v>
      </c>
      <c r="M135" s="18" t="str">
        <f>HYPERLINK("http://slimages.macys.com/is/image/MCY/11629370 ")</f>
        <v xml:space="preserve">http://slimages.macys.com/is/image/MCY/11629370 </v>
      </c>
      <c r="N135" s="19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6" t="s">
        <v>493</v>
      </c>
      <c r="B136" s="4" t="s">
        <v>494</v>
      </c>
      <c r="C136" s="3">
        <v>1</v>
      </c>
      <c r="D136" s="17">
        <v>32</v>
      </c>
      <c r="E136" s="3" t="s">
        <v>495</v>
      </c>
      <c r="F136" s="4" t="s">
        <v>38</v>
      </c>
      <c r="G136" s="16" t="s">
        <v>203</v>
      </c>
      <c r="H136" s="17">
        <v>15.147928994082841</v>
      </c>
      <c r="I136" s="4" t="s">
        <v>44</v>
      </c>
      <c r="J136" s="4" t="s">
        <v>492</v>
      </c>
      <c r="K136" s="4" t="s">
        <v>33</v>
      </c>
      <c r="L136" s="4" t="s">
        <v>320</v>
      </c>
      <c r="M136" s="18" t="str">
        <f>HYPERLINK("http://slimages.macys.com/is/image/MCY/11629486 ")</f>
        <v xml:space="preserve">http://slimages.macys.com/is/image/MCY/11629486 </v>
      </c>
      <c r="N136" s="19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6" t="s">
        <v>496</v>
      </c>
      <c r="B137" s="4" t="s">
        <v>497</v>
      </c>
      <c r="C137" s="3">
        <v>1</v>
      </c>
      <c r="D137" s="17">
        <v>26.99</v>
      </c>
      <c r="E137" s="3" t="s">
        <v>498</v>
      </c>
      <c r="F137" s="4" t="s">
        <v>30</v>
      </c>
      <c r="G137" s="16" t="s">
        <v>499</v>
      </c>
      <c r="H137" s="17">
        <v>15.147928994082841</v>
      </c>
      <c r="I137" s="4" t="s">
        <v>44</v>
      </c>
      <c r="J137" s="4" t="s">
        <v>45</v>
      </c>
      <c r="K137" s="4" t="s">
        <v>33</v>
      </c>
      <c r="L137" s="4" t="s">
        <v>456</v>
      </c>
      <c r="M137" s="18" t="str">
        <f>HYPERLINK("http://slimages.macys.com/is/image/MCY/9613901 ")</f>
        <v xml:space="preserve">http://slimages.macys.com/is/image/MCY/9613901 </v>
      </c>
      <c r="N137" s="19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6" t="s">
        <v>500</v>
      </c>
      <c r="B138" s="4" t="s">
        <v>501</v>
      </c>
      <c r="C138" s="3">
        <v>1</v>
      </c>
      <c r="D138" s="17">
        <v>34.99</v>
      </c>
      <c r="E138" s="3">
        <v>54870</v>
      </c>
      <c r="F138" s="4" t="s">
        <v>38</v>
      </c>
      <c r="G138" s="16"/>
      <c r="H138" s="17">
        <v>14.901775147928994</v>
      </c>
      <c r="I138" s="4" t="s">
        <v>44</v>
      </c>
      <c r="J138" s="4" t="s">
        <v>502</v>
      </c>
      <c r="K138" s="4" t="s">
        <v>33</v>
      </c>
      <c r="L138" s="4" t="s">
        <v>320</v>
      </c>
      <c r="M138" s="18" t="str">
        <f>HYPERLINK("http://slimages.macys.com/is/image/MCY/11247680 ")</f>
        <v xml:space="preserve">http://slimages.macys.com/is/image/MCY/11247680 </v>
      </c>
      <c r="N138" s="19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6" t="s">
        <v>503</v>
      </c>
      <c r="B139" s="4" t="s">
        <v>504</v>
      </c>
      <c r="C139" s="3">
        <v>1</v>
      </c>
      <c r="D139" s="17">
        <v>39.99</v>
      </c>
      <c r="E139" s="3" t="s">
        <v>505</v>
      </c>
      <c r="F139" s="4" t="s">
        <v>506</v>
      </c>
      <c r="G139" s="16"/>
      <c r="H139" s="17">
        <v>14.894674556213019</v>
      </c>
      <c r="I139" s="4" t="s">
        <v>253</v>
      </c>
      <c r="J139" s="4" t="s">
        <v>378</v>
      </c>
      <c r="K139" s="4"/>
      <c r="L139" s="4"/>
      <c r="M139" s="18" t="str">
        <f>HYPERLINK("http://slimages.macys.com/is/image/MCY/17968749 ")</f>
        <v xml:space="preserve">http://slimages.macys.com/is/image/MCY/17968749 </v>
      </c>
      <c r="N139" s="19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6" t="s">
        <v>507</v>
      </c>
      <c r="B140" s="4" t="s">
        <v>508</v>
      </c>
      <c r="C140" s="3">
        <v>1</v>
      </c>
      <c r="D140" s="17">
        <v>27.99</v>
      </c>
      <c r="E140" s="3" t="s">
        <v>509</v>
      </c>
      <c r="F140" s="4" t="s">
        <v>49</v>
      </c>
      <c r="G140" s="16"/>
      <c r="H140" s="17">
        <v>14.778698224852068</v>
      </c>
      <c r="I140" s="4" t="s">
        <v>44</v>
      </c>
      <c r="J140" s="4" t="s">
        <v>45</v>
      </c>
      <c r="K140" s="4" t="s">
        <v>33</v>
      </c>
      <c r="L140" s="4" t="s">
        <v>510</v>
      </c>
      <c r="M140" s="18" t="str">
        <f>HYPERLINK("http://slimages.macys.com/is/image/MCY/9614138 ")</f>
        <v xml:space="preserve">http://slimages.macys.com/is/image/MCY/9614138 </v>
      </c>
      <c r="N140" s="19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6" t="s">
        <v>511</v>
      </c>
      <c r="B141" s="4" t="s">
        <v>512</v>
      </c>
      <c r="C141" s="3">
        <v>1</v>
      </c>
      <c r="D141" s="17">
        <v>39.99</v>
      </c>
      <c r="E141" s="3" t="s">
        <v>513</v>
      </c>
      <c r="F141" s="4" t="s">
        <v>49</v>
      </c>
      <c r="G141" s="16"/>
      <c r="H141" s="17">
        <v>14.571597633136093</v>
      </c>
      <c r="I141" s="4" t="s">
        <v>168</v>
      </c>
      <c r="J141" s="4" t="s">
        <v>249</v>
      </c>
      <c r="K141" s="4" t="s">
        <v>33</v>
      </c>
      <c r="L141" s="4" t="s">
        <v>514</v>
      </c>
      <c r="M141" s="18" t="str">
        <f>HYPERLINK("http://slimages.macys.com/is/image/MCY/9853592 ")</f>
        <v xml:space="preserve">http://slimages.macys.com/is/image/MCY/9853592 </v>
      </c>
      <c r="N141" s="19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6" t="s">
        <v>515</v>
      </c>
      <c r="B142" s="4" t="s">
        <v>516</v>
      </c>
      <c r="C142" s="3">
        <v>4</v>
      </c>
      <c r="D142" s="17">
        <v>64.989999999999995</v>
      </c>
      <c r="E142" s="3">
        <v>100107103</v>
      </c>
      <c r="F142" s="4" t="s">
        <v>333</v>
      </c>
      <c r="G142" s="16" t="s">
        <v>499</v>
      </c>
      <c r="H142" s="17">
        <v>14.50532544378698</v>
      </c>
      <c r="I142" s="4" t="s">
        <v>517</v>
      </c>
      <c r="J142" s="4" t="s">
        <v>518</v>
      </c>
      <c r="K142" s="4"/>
      <c r="L142" s="4"/>
      <c r="M142" s="18" t="str">
        <f t="shared" ref="M142:M147" si="12">HYPERLINK("http://slimages.macys.com/is/image/MCY/19567811 ")</f>
        <v xml:space="preserve">http://slimages.macys.com/is/image/MCY/19567811 </v>
      </c>
      <c r="N142" s="19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6" t="s">
        <v>515</v>
      </c>
      <c r="B143" s="4" t="s">
        <v>516</v>
      </c>
      <c r="C143" s="3">
        <v>1</v>
      </c>
      <c r="D143" s="17">
        <v>64.989999999999995</v>
      </c>
      <c r="E143" s="3">
        <v>100107103</v>
      </c>
      <c r="F143" s="4" t="s">
        <v>333</v>
      </c>
      <c r="G143" s="16" t="s">
        <v>499</v>
      </c>
      <c r="H143" s="17">
        <v>14.50532544378698</v>
      </c>
      <c r="I143" s="4" t="s">
        <v>517</v>
      </c>
      <c r="J143" s="4" t="s">
        <v>518</v>
      </c>
      <c r="K143" s="4"/>
      <c r="L143" s="4"/>
      <c r="M143" s="18" t="str">
        <f t="shared" si="12"/>
        <v xml:space="preserve">http://slimages.macys.com/is/image/MCY/19567811 </v>
      </c>
      <c r="N143" s="19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6" t="s">
        <v>519</v>
      </c>
      <c r="B144" s="4" t="s">
        <v>520</v>
      </c>
      <c r="C144" s="3">
        <v>2</v>
      </c>
      <c r="D144" s="17">
        <v>64.989999999999995</v>
      </c>
      <c r="E144" s="3">
        <v>100107103</v>
      </c>
      <c r="F144" s="4" t="s">
        <v>521</v>
      </c>
      <c r="G144" s="16" t="s">
        <v>499</v>
      </c>
      <c r="H144" s="17">
        <v>14.50532544378698</v>
      </c>
      <c r="I144" s="4" t="s">
        <v>517</v>
      </c>
      <c r="J144" s="4" t="s">
        <v>518</v>
      </c>
      <c r="K144" s="4"/>
      <c r="L144" s="4"/>
      <c r="M144" s="18" t="str">
        <f t="shared" si="12"/>
        <v xml:space="preserve">http://slimages.macys.com/is/image/MCY/19567811 </v>
      </c>
      <c r="N144" s="19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6" t="s">
        <v>519</v>
      </c>
      <c r="B145" s="4" t="s">
        <v>520</v>
      </c>
      <c r="C145" s="3">
        <v>1</v>
      </c>
      <c r="D145" s="17">
        <v>64.989999999999995</v>
      </c>
      <c r="E145" s="3">
        <v>100107103</v>
      </c>
      <c r="F145" s="4" t="s">
        <v>521</v>
      </c>
      <c r="G145" s="16" t="s">
        <v>499</v>
      </c>
      <c r="H145" s="17">
        <v>14.50532544378698</v>
      </c>
      <c r="I145" s="4" t="s">
        <v>517</v>
      </c>
      <c r="J145" s="4" t="s">
        <v>518</v>
      </c>
      <c r="K145" s="4"/>
      <c r="L145" s="4"/>
      <c r="M145" s="18" t="str">
        <f t="shared" si="12"/>
        <v xml:space="preserve">http://slimages.macys.com/is/image/MCY/19567811 </v>
      </c>
      <c r="N145" s="19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6" t="s">
        <v>519</v>
      </c>
      <c r="B146" s="4" t="s">
        <v>520</v>
      </c>
      <c r="C146" s="3">
        <v>2</v>
      </c>
      <c r="D146" s="17">
        <v>64.989999999999995</v>
      </c>
      <c r="E146" s="3">
        <v>100107103</v>
      </c>
      <c r="F146" s="4" t="s">
        <v>521</v>
      </c>
      <c r="G146" s="16" t="s">
        <v>499</v>
      </c>
      <c r="H146" s="17">
        <v>14.50532544378698</v>
      </c>
      <c r="I146" s="4" t="s">
        <v>517</v>
      </c>
      <c r="J146" s="4" t="s">
        <v>518</v>
      </c>
      <c r="K146" s="4"/>
      <c r="L146" s="4"/>
      <c r="M146" s="18" t="str">
        <f t="shared" si="12"/>
        <v xml:space="preserve">http://slimages.macys.com/is/image/MCY/19567811 </v>
      </c>
      <c r="N146" s="19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6" t="s">
        <v>515</v>
      </c>
      <c r="B147" s="4" t="s">
        <v>516</v>
      </c>
      <c r="C147" s="3">
        <v>2</v>
      </c>
      <c r="D147" s="17">
        <v>64.989999999999995</v>
      </c>
      <c r="E147" s="3">
        <v>100107103</v>
      </c>
      <c r="F147" s="4" t="s">
        <v>333</v>
      </c>
      <c r="G147" s="16" t="s">
        <v>499</v>
      </c>
      <c r="H147" s="17">
        <v>14.50532544378698</v>
      </c>
      <c r="I147" s="4" t="s">
        <v>517</v>
      </c>
      <c r="J147" s="4" t="s">
        <v>518</v>
      </c>
      <c r="K147" s="4"/>
      <c r="L147" s="4"/>
      <c r="M147" s="18" t="str">
        <f t="shared" si="12"/>
        <v xml:space="preserve">http://slimages.macys.com/is/image/MCY/19567811 </v>
      </c>
      <c r="N147" s="19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6" t="s">
        <v>522</v>
      </c>
      <c r="B148" s="4" t="s">
        <v>523</v>
      </c>
      <c r="C148" s="3">
        <v>1</v>
      </c>
      <c r="D148" s="17">
        <v>34.99</v>
      </c>
      <c r="E148" s="3" t="s">
        <v>524</v>
      </c>
      <c r="F148" s="4" t="s">
        <v>38</v>
      </c>
      <c r="G148" s="16" t="s">
        <v>525</v>
      </c>
      <c r="H148" s="17">
        <v>14.456804733727811</v>
      </c>
      <c r="I148" s="4" t="s">
        <v>64</v>
      </c>
      <c r="J148" s="4" t="s">
        <v>122</v>
      </c>
      <c r="K148" s="4" t="s">
        <v>526</v>
      </c>
      <c r="L148" s="4" t="s">
        <v>527</v>
      </c>
      <c r="M148" s="18" t="str">
        <f>HYPERLINK("http://slimages.macys.com/is/image/MCY/11798178 ")</f>
        <v xml:space="preserve">http://slimages.macys.com/is/image/MCY/11798178 </v>
      </c>
      <c r="N148" s="19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6" t="s">
        <v>528</v>
      </c>
      <c r="B149" s="4" t="s">
        <v>529</v>
      </c>
      <c r="C149" s="3">
        <v>1</v>
      </c>
      <c r="D149" s="17">
        <v>19.989999999999998</v>
      </c>
      <c r="E149" s="3" t="s">
        <v>530</v>
      </c>
      <c r="F149" s="4" t="s">
        <v>116</v>
      </c>
      <c r="G149" s="16" t="s">
        <v>203</v>
      </c>
      <c r="H149" s="17">
        <v>14.24852071005917</v>
      </c>
      <c r="I149" s="4" t="s">
        <v>44</v>
      </c>
      <c r="J149" s="4" t="s">
        <v>45</v>
      </c>
      <c r="K149" s="4" t="s">
        <v>33</v>
      </c>
      <c r="L149" s="4" t="s">
        <v>531</v>
      </c>
      <c r="M149" s="18" t="str">
        <f>HYPERLINK("http://slimages.macys.com/is/image/MCY/9613896 ")</f>
        <v xml:space="preserve">http://slimages.macys.com/is/image/MCY/9613896 </v>
      </c>
      <c r="N149" s="19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6" t="s">
        <v>532</v>
      </c>
      <c r="B150" s="4" t="s">
        <v>533</v>
      </c>
      <c r="C150" s="3">
        <v>1</v>
      </c>
      <c r="D150" s="17">
        <v>59.99</v>
      </c>
      <c r="E150" s="3">
        <v>10004897500</v>
      </c>
      <c r="F150" s="4" t="s">
        <v>49</v>
      </c>
      <c r="G150" s="16"/>
      <c r="H150" s="17">
        <v>14.207100591715976</v>
      </c>
      <c r="I150" s="4" t="s">
        <v>168</v>
      </c>
      <c r="J150" s="4" t="s">
        <v>534</v>
      </c>
      <c r="K150" s="4" t="s">
        <v>33</v>
      </c>
      <c r="L150" s="4"/>
      <c r="M150" s="18" t="str">
        <f>HYPERLINK("http://slimages.macys.com/is/image/MCY/14823286 ")</f>
        <v xml:space="preserve">http://slimages.macys.com/is/image/MCY/14823286 </v>
      </c>
      <c r="N150" s="19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6" t="s">
        <v>535</v>
      </c>
      <c r="B151" s="4" t="s">
        <v>536</v>
      </c>
      <c r="C151" s="3">
        <v>1</v>
      </c>
      <c r="D151" s="17">
        <v>29.99</v>
      </c>
      <c r="E151" s="3" t="s">
        <v>537</v>
      </c>
      <c r="F151" s="4" t="s">
        <v>538</v>
      </c>
      <c r="G151" s="16"/>
      <c r="H151" s="17">
        <v>13.461538461538462</v>
      </c>
      <c r="I151" s="4" t="s">
        <v>253</v>
      </c>
      <c r="J151" s="4" t="s">
        <v>539</v>
      </c>
      <c r="K151" s="4"/>
      <c r="L151" s="4"/>
      <c r="M151" s="18" t="str">
        <f>HYPERLINK("http://slimages.macys.com/is/image/MCY/18703112 ")</f>
        <v xml:space="preserve">http://slimages.macys.com/is/image/MCY/18703112 </v>
      </c>
      <c r="N151" s="19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6" t="s">
        <v>540</v>
      </c>
      <c r="B152" s="4" t="s">
        <v>541</v>
      </c>
      <c r="C152" s="3">
        <v>1</v>
      </c>
      <c r="D152" s="17">
        <v>29.99</v>
      </c>
      <c r="E152" s="3" t="s">
        <v>542</v>
      </c>
      <c r="F152" s="4" t="s">
        <v>30</v>
      </c>
      <c r="G152" s="16"/>
      <c r="H152" s="17">
        <v>13.207100591715976</v>
      </c>
      <c r="I152" s="4" t="s">
        <v>44</v>
      </c>
      <c r="J152" s="4" t="s">
        <v>543</v>
      </c>
      <c r="K152" s="4"/>
      <c r="L152" s="4"/>
      <c r="M152" s="18" t="str">
        <f>HYPERLINK("http://slimages.macys.com/is/image/MCY/20009185 ")</f>
        <v xml:space="preserve">http://slimages.macys.com/is/image/MCY/20009185 </v>
      </c>
      <c r="N152" s="19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6" t="s">
        <v>544</v>
      </c>
      <c r="B153" s="4" t="s">
        <v>545</v>
      </c>
      <c r="C153" s="3">
        <v>1</v>
      </c>
      <c r="D153" s="17">
        <v>79.989999999999995</v>
      </c>
      <c r="E153" s="3" t="s">
        <v>546</v>
      </c>
      <c r="F153" s="4" t="s">
        <v>547</v>
      </c>
      <c r="G153" s="16"/>
      <c r="H153" s="17">
        <v>13.138461538461536</v>
      </c>
      <c r="I153" s="4" t="s">
        <v>484</v>
      </c>
      <c r="J153" s="4" t="s">
        <v>548</v>
      </c>
      <c r="K153" s="4" t="s">
        <v>33</v>
      </c>
      <c r="L153" s="4" t="s">
        <v>549</v>
      </c>
      <c r="M153" s="18" t="str">
        <f>HYPERLINK("http://slimages.macys.com/is/image/MCY/15618077 ")</f>
        <v xml:space="preserve">http://slimages.macys.com/is/image/MCY/15618077 </v>
      </c>
      <c r="N153" s="19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6" t="s">
        <v>550</v>
      </c>
      <c r="B154" s="4" t="s">
        <v>551</v>
      </c>
      <c r="C154" s="3">
        <v>1</v>
      </c>
      <c r="D154" s="17">
        <v>39.99</v>
      </c>
      <c r="E154" s="3" t="s">
        <v>552</v>
      </c>
      <c r="F154" s="4" t="s">
        <v>116</v>
      </c>
      <c r="G154" s="16"/>
      <c r="H154" s="17">
        <v>12.906508875739645</v>
      </c>
      <c r="I154" s="4" t="s">
        <v>275</v>
      </c>
      <c r="J154" s="4" t="s">
        <v>283</v>
      </c>
      <c r="K154" s="4" t="s">
        <v>33</v>
      </c>
      <c r="L154" s="4" t="s">
        <v>553</v>
      </c>
      <c r="M154" s="18" t="str">
        <f>HYPERLINK("http://slimages.macys.com/is/image/MCY/16059461 ")</f>
        <v xml:space="preserve">http://slimages.macys.com/is/image/MCY/16059461 </v>
      </c>
      <c r="N154" s="19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6" t="s">
        <v>554</v>
      </c>
      <c r="B155" s="4" t="s">
        <v>555</v>
      </c>
      <c r="C155" s="3">
        <v>1</v>
      </c>
      <c r="D155" s="17">
        <v>29.99</v>
      </c>
      <c r="E155" s="3">
        <v>10013242400</v>
      </c>
      <c r="F155" s="4" t="s">
        <v>60</v>
      </c>
      <c r="G155" s="16"/>
      <c r="H155" s="17">
        <v>12.833609467455622</v>
      </c>
      <c r="I155" s="4" t="s">
        <v>556</v>
      </c>
      <c r="J155" s="4" t="s">
        <v>346</v>
      </c>
      <c r="K155" s="4"/>
      <c r="L155" s="4"/>
      <c r="M155" s="18" t="str">
        <f t="shared" ref="M155:M158" si="13">HYPERLINK("http://slimages.macys.com/is/image/MCY/19846722 ")</f>
        <v xml:space="preserve">http://slimages.macys.com/is/image/MCY/19846722 </v>
      </c>
      <c r="N155" s="19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6" t="s">
        <v>554</v>
      </c>
      <c r="B156" s="4" t="s">
        <v>555</v>
      </c>
      <c r="C156" s="3">
        <v>3</v>
      </c>
      <c r="D156" s="17">
        <v>29.99</v>
      </c>
      <c r="E156" s="3">
        <v>10013242400</v>
      </c>
      <c r="F156" s="4" t="s">
        <v>60</v>
      </c>
      <c r="G156" s="16"/>
      <c r="H156" s="17">
        <v>12.833609467455622</v>
      </c>
      <c r="I156" s="4" t="s">
        <v>556</v>
      </c>
      <c r="J156" s="4" t="s">
        <v>346</v>
      </c>
      <c r="K156" s="4"/>
      <c r="L156" s="4"/>
      <c r="M156" s="18" t="str">
        <f t="shared" si="13"/>
        <v xml:space="preserve">http://slimages.macys.com/is/image/MCY/19846722 </v>
      </c>
      <c r="N156" s="19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6" t="s">
        <v>554</v>
      </c>
      <c r="B157" s="4" t="s">
        <v>555</v>
      </c>
      <c r="C157" s="3">
        <v>5</v>
      </c>
      <c r="D157" s="17">
        <v>29.99</v>
      </c>
      <c r="E157" s="3">
        <v>10013242400</v>
      </c>
      <c r="F157" s="4" t="s">
        <v>60</v>
      </c>
      <c r="G157" s="16"/>
      <c r="H157" s="17">
        <v>12.833609467455622</v>
      </c>
      <c r="I157" s="4" t="s">
        <v>556</v>
      </c>
      <c r="J157" s="4" t="s">
        <v>346</v>
      </c>
      <c r="K157" s="4"/>
      <c r="L157" s="4"/>
      <c r="M157" s="18" t="str">
        <f t="shared" si="13"/>
        <v xml:space="preserve">http://slimages.macys.com/is/image/MCY/19846722 </v>
      </c>
      <c r="N157" s="19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6" t="s">
        <v>554</v>
      </c>
      <c r="B158" s="4" t="s">
        <v>555</v>
      </c>
      <c r="C158" s="3">
        <v>5</v>
      </c>
      <c r="D158" s="17">
        <v>29.99</v>
      </c>
      <c r="E158" s="3">
        <v>10013242400</v>
      </c>
      <c r="F158" s="4" t="s">
        <v>60</v>
      </c>
      <c r="G158" s="16"/>
      <c r="H158" s="17">
        <v>12.833609467455622</v>
      </c>
      <c r="I158" s="4" t="s">
        <v>556</v>
      </c>
      <c r="J158" s="4" t="s">
        <v>346</v>
      </c>
      <c r="K158" s="4"/>
      <c r="L158" s="4"/>
      <c r="M158" s="18" t="str">
        <f t="shared" si="13"/>
        <v xml:space="preserve">http://slimages.macys.com/is/image/MCY/19846722 </v>
      </c>
      <c r="N158" s="19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6" t="s">
        <v>557</v>
      </c>
      <c r="B159" s="4" t="s">
        <v>558</v>
      </c>
      <c r="C159" s="3">
        <v>1</v>
      </c>
      <c r="D159" s="17">
        <v>39.99</v>
      </c>
      <c r="E159" s="3">
        <v>100128101</v>
      </c>
      <c r="F159" s="4" t="s">
        <v>176</v>
      </c>
      <c r="G159" s="16" t="s">
        <v>559</v>
      </c>
      <c r="H159" s="17">
        <v>12.699408284023667</v>
      </c>
      <c r="I159" s="4" t="s">
        <v>517</v>
      </c>
      <c r="J159" s="4" t="s">
        <v>560</v>
      </c>
      <c r="K159" s="4"/>
      <c r="L159" s="4"/>
      <c r="M159" s="18" t="str">
        <f>HYPERLINK("http://slimages.macys.com/is/image/MCY/19570950 ")</f>
        <v xml:space="preserve">http://slimages.macys.com/is/image/MCY/19570950 </v>
      </c>
      <c r="N159" s="19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6" t="s">
        <v>561</v>
      </c>
      <c r="B160" s="4" t="s">
        <v>562</v>
      </c>
      <c r="C160" s="3">
        <v>1</v>
      </c>
      <c r="D160" s="17">
        <v>59.99</v>
      </c>
      <c r="E160" s="3" t="s">
        <v>563</v>
      </c>
      <c r="F160" s="4" t="s">
        <v>38</v>
      </c>
      <c r="G160" s="16"/>
      <c r="H160" s="17">
        <v>12.682840236686388</v>
      </c>
      <c r="I160" s="4" t="s">
        <v>55</v>
      </c>
      <c r="J160" s="4" t="s">
        <v>45</v>
      </c>
      <c r="K160" s="4" t="s">
        <v>33</v>
      </c>
      <c r="L160" s="4" t="s">
        <v>564</v>
      </c>
      <c r="M160" s="18" t="str">
        <f>HYPERLINK("http://slimages.macys.com/is/image/MCY/9798713 ")</f>
        <v xml:space="preserve">http://slimages.macys.com/is/image/MCY/9798713 </v>
      </c>
      <c r="N160" s="19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6" t="s">
        <v>565</v>
      </c>
      <c r="B161" s="4" t="s">
        <v>566</v>
      </c>
      <c r="C161" s="3">
        <v>1</v>
      </c>
      <c r="D161" s="17">
        <v>29.99</v>
      </c>
      <c r="E161" s="3" t="s">
        <v>567</v>
      </c>
      <c r="F161" s="4" t="s">
        <v>355</v>
      </c>
      <c r="G161" s="16"/>
      <c r="H161" s="17">
        <v>12.475739644970412</v>
      </c>
      <c r="I161" s="4" t="s">
        <v>356</v>
      </c>
      <c r="J161" s="4" t="s">
        <v>357</v>
      </c>
      <c r="K161" s="4" t="s">
        <v>33</v>
      </c>
      <c r="L161" s="4" t="s">
        <v>568</v>
      </c>
      <c r="M161" s="18" t="str">
        <f>HYPERLINK("http://slimages.macys.com/is/image/MCY/1364278 ")</f>
        <v xml:space="preserve">http://slimages.macys.com/is/image/MCY/1364278 </v>
      </c>
      <c r="N161" s="19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6" t="s">
        <v>569</v>
      </c>
      <c r="B162" s="4" t="s">
        <v>570</v>
      </c>
      <c r="C162" s="3">
        <v>2</v>
      </c>
      <c r="D162" s="17">
        <v>37.99</v>
      </c>
      <c r="E162" s="3">
        <v>17427</v>
      </c>
      <c r="F162" s="4" t="s">
        <v>49</v>
      </c>
      <c r="G162" s="16" t="s">
        <v>149</v>
      </c>
      <c r="H162" s="17">
        <v>12.426035502958579</v>
      </c>
      <c r="I162" s="4" t="s">
        <v>31</v>
      </c>
      <c r="J162" s="4" t="s">
        <v>571</v>
      </c>
      <c r="K162" s="4" t="s">
        <v>33</v>
      </c>
      <c r="L162" s="4" t="s">
        <v>572</v>
      </c>
      <c r="M162" s="18" t="str">
        <f>HYPERLINK("http://slimages.macys.com/is/image/MCY/11173593 ")</f>
        <v xml:space="preserve">http://slimages.macys.com/is/image/MCY/11173593 </v>
      </c>
      <c r="N162" s="19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6" t="s">
        <v>573</v>
      </c>
      <c r="B163" s="4" t="s">
        <v>574</v>
      </c>
      <c r="C163" s="3">
        <v>1</v>
      </c>
      <c r="D163" s="17">
        <v>27.99</v>
      </c>
      <c r="E163" s="3">
        <v>816716</v>
      </c>
      <c r="F163" s="4" t="s">
        <v>506</v>
      </c>
      <c r="G163" s="16"/>
      <c r="H163" s="17">
        <v>12.426035502958579</v>
      </c>
      <c r="I163" s="4" t="s">
        <v>356</v>
      </c>
      <c r="J163" s="4" t="s">
        <v>575</v>
      </c>
      <c r="K163" s="4" t="s">
        <v>33</v>
      </c>
      <c r="L163" s="4" t="s">
        <v>576</v>
      </c>
      <c r="M163" s="18" t="str">
        <f>HYPERLINK("http://slimages.macys.com/is/image/MCY/12045091 ")</f>
        <v xml:space="preserve">http://slimages.macys.com/is/image/MCY/12045091 </v>
      </c>
      <c r="N163" s="19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6" t="s">
        <v>577</v>
      </c>
      <c r="B164" s="4" t="s">
        <v>578</v>
      </c>
      <c r="C164" s="3">
        <v>8</v>
      </c>
      <c r="D164" s="17">
        <v>37.99</v>
      </c>
      <c r="E164" s="3" t="s">
        <v>579</v>
      </c>
      <c r="F164" s="4" t="s">
        <v>212</v>
      </c>
      <c r="G164" s="16"/>
      <c r="H164" s="17">
        <v>12.307692307692307</v>
      </c>
      <c r="I164" s="4" t="s">
        <v>44</v>
      </c>
      <c r="J164" s="4" t="s">
        <v>580</v>
      </c>
      <c r="K164" s="4" t="s">
        <v>33</v>
      </c>
      <c r="L164" s="4" t="s">
        <v>128</v>
      </c>
      <c r="M164" s="18" t="str">
        <f>HYPERLINK("http://slimages.macys.com/is/image/MCY/15049330 ")</f>
        <v xml:space="preserve">http://slimages.macys.com/is/image/MCY/15049330 </v>
      </c>
      <c r="N164" s="19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6" t="s">
        <v>581</v>
      </c>
      <c r="B165" s="4" t="s">
        <v>582</v>
      </c>
      <c r="C165" s="3">
        <v>1</v>
      </c>
      <c r="D165" s="17">
        <v>39.99</v>
      </c>
      <c r="E165" s="3">
        <v>10009071600</v>
      </c>
      <c r="F165" s="4" t="s">
        <v>258</v>
      </c>
      <c r="G165" s="16"/>
      <c r="H165" s="17">
        <v>12.169230769230767</v>
      </c>
      <c r="I165" s="4" t="s">
        <v>168</v>
      </c>
      <c r="J165" s="4" t="s">
        <v>583</v>
      </c>
      <c r="K165" s="4" t="s">
        <v>33</v>
      </c>
      <c r="L165" s="4"/>
      <c r="M165" s="18" t="str">
        <f>HYPERLINK("http://slimages.macys.com/is/image/MCY/15858688 ")</f>
        <v xml:space="preserve">http://slimages.macys.com/is/image/MCY/15858688 </v>
      </c>
      <c r="N165" s="19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6" t="s">
        <v>584</v>
      </c>
      <c r="B166" s="4" t="s">
        <v>585</v>
      </c>
      <c r="C166" s="3">
        <v>6</v>
      </c>
      <c r="D166" s="17">
        <v>37.99</v>
      </c>
      <c r="E166" s="3" t="s">
        <v>586</v>
      </c>
      <c r="F166" s="4" t="s">
        <v>587</v>
      </c>
      <c r="G166" s="16"/>
      <c r="H166" s="17">
        <v>12.165680473372779</v>
      </c>
      <c r="I166" s="4" t="s">
        <v>44</v>
      </c>
      <c r="J166" s="4" t="s">
        <v>588</v>
      </c>
      <c r="K166" s="4" t="s">
        <v>33</v>
      </c>
      <c r="L166" s="4" t="s">
        <v>151</v>
      </c>
      <c r="M166" s="18" t="str">
        <f>HYPERLINK("http://slimages.macys.com/is/image/MCY/11685358 ")</f>
        <v xml:space="preserve">http://slimages.macys.com/is/image/MCY/11685358 </v>
      </c>
      <c r="N166" s="19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6" t="s">
        <v>589</v>
      </c>
      <c r="B167" s="4" t="s">
        <v>590</v>
      </c>
      <c r="C167" s="3">
        <v>1</v>
      </c>
      <c r="D167" s="17">
        <v>24.99</v>
      </c>
      <c r="E167" s="3" t="s">
        <v>591</v>
      </c>
      <c r="F167" s="4"/>
      <c r="G167" s="16"/>
      <c r="H167" s="17">
        <v>12.071005917159761</v>
      </c>
      <c r="I167" s="4" t="s">
        <v>44</v>
      </c>
      <c r="J167" s="4" t="s">
        <v>592</v>
      </c>
      <c r="K167" s="4"/>
      <c r="L167" s="4"/>
      <c r="M167" s="18" t="str">
        <f t="shared" ref="M167:M178" si="14">HYPERLINK("http://slimages.macys.com/is/image/MCY/17620641 ")</f>
        <v xml:space="preserve">http://slimages.macys.com/is/image/MCY/17620641 </v>
      </c>
      <c r="N167" s="19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6" t="s">
        <v>593</v>
      </c>
      <c r="B168" s="4" t="s">
        <v>594</v>
      </c>
      <c r="C168" s="3">
        <v>1</v>
      </c>
      <c r="D168" s="17">
        <v>24.99</v>
      </c>
      <c r="E168" s="3" t="s">
        <v>595</v>
      </c>
      <c r="F168" s="4"/>
      <c r="G168" s="16"/>
      <c r="H168" s="17">
        <v>12.071005917159761</v>
      </c>
      <c r="I168" s="4" t="s">
        <v>44</v>
      </c>
      <c r="J168" s="4" t="s">
        <v>592</v>
      </c>
      <c r="K168" s="4"/>
      <c r="L168" s="4"/>
      <c r="M168" s="18" t="str">
        <f t="shared" si="14"/>
        <v xml:space="preserve">http://slimages.macys.com/is/image/MCY/17620641 </v>
      </c>
      <c r="N168" s="19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6" t="s">
        <v>596</v>
      </c>
      <c r="B169" s="4" t="s">
        <v>597</v>
      </c>
      <c r="C169" s="3">
        <v>1</v>
      </c>
      <c r="D169" s="17">
        <v>24.99</v>
      </c>
      <c r="E169" s="3" t="s">
        <v>598</v>
      </c>
      <c r="F169" s="4"/>
      <c r="G169" s="16"/>
      <c r="H169" s="17">
        <v>12.071005917159761</v>
      </c>
      <c r="I169" s="4" t="s">
        <v>44</v>
      </c>
      <c r="J169" s="4" t="s">
        <v>592</v>
      </c>
      <c r="K169" s="4"/>
      <c r="L169" s="4"/>
      <c r="M169" s="18" t="str">
        <f t="shared" si="14"/>
        <v xml:space="preserve">http://slimages.macys.com/is/image/MCY/17620641 </v>
      </c>
      <c r="N169" s="19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6" t="s">
        <v>599</v>
      </c>
      <c r="B170" s="4" t="s">
        <v>600</v>
      </c>
      <c r="C170" s="3">
        <v>2</v>
      </c>
      <c r="D170" s="17">
        <v>24.99</v>
      </c>
      <c r="E170" s="3" t="s">
        <v>601</v>
      </c>
      <c r="F170" s="4"/>
      <c r="G170" s="16"/>
      <c r="H170" s="17">
        <v>12.071005917159761</v>
      </c>
      <c r="I170" s="4" t="s">
        <v>44</v>
      </c>
      <c r="J170" s="4" t="s">
        <v>592</v>
      </c>
      <c r="K170" s="4"/>
      <c r="L170" s="4"/>
      <c r="M170" s="18" t="str">
        <f t="shared" si="14"/>
        <v xml:space="preserve">http://slimages.macys.com/is/image/MCY/17620641 </v>
      </c>
      <c r="N170" s="19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6" t="s">
        <v>593</v>
      </c>
      <c r="B171" s="4" t="s">
        <v>594</v>
      </c>
      <c r="C171" s="3">
        <v>1</v>
      </c>
      <c r="D171" s="17">
        <v>24.99</v>
      </c>
      <c r="E171" s="3" t="s">
        <v>595</v>
      </c>
      <c r="F171" s="4"/>
      <c r="G171" s="16"/>
      <c r="H171" s="17">
        <v>12.071005917159761</v>
      </c>
      <c r="I171" s="4" t="s">
        <v>44</v>
      </c>
      <c r="J171" s="4" t="s">
        <v>592</v>
      </c>
      <c r="K171" s="4"/>
      <c r="L171" s="4"/>
      <c r="M171" s="18" t="str">
        <f t="shared" si="14"/>
        <v xml:space="preserve">http://slimages.macys.com/is/image/MCY/17620641 </v>
      </c>
      <c r="N171" s="19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6" t="s">
        <v>589</v>
      </c>
      <c r="B172" s="4" t="s">
        <v>590</v>
      </c>
      <c r="C172" s="3">
        <v>1</v>
      </c>
      <c r="D172" s="17">
        <v>24.99</v>
      </c>
      <c r="E172" s="3" t="s">
        <v>591</v>
      </c>
      <c r="F172" s="4"/>
      <c r="G172" s="16"/>
      <c r="H172" s="17">
        <v>12.071005917159761</v>
      </c>
      <c r="I172" s="4" t="s">
        <v>44</v>
      </c>
      <c r="J172" s="4" t="s">
        <v>592</v>
      </c>
      <c r="K172" s="4"/>
      <c r="L172" s="4"/>
      <c r="M172" s="18" t="str">
        <f t="shared" si="14"/>
        <v xml:space="preserve">http://slimages.macys.com/is/image/MCY/17620641 </v>
      </c>
      <c r="N172" s="19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6" t="s">
        <v>599</v>
      </c>
      <c r="B173" s="4" t="s">
        <v>600</v>
      </c>
      <c r="C173" s="3">
        <v>1</v>
      </c>
      <c r="D173" s="17">
        <v>24.99</v>
      </c>
      <c r="E173" s="3" t="s">
        <v>601</v>
      </c>
      <c r="F173" s="4"/>
      <c r="G173" s="16"/>
      <c r="H173" s="17">
        <v>12.071005917159761</v>
      </c>
      <c r="I173" s="4" t="s">
        <v>44</v>
      </c>
      <c r="J173" s="4" t="s">
        <v>592</v>
      </c>
      <c r="K173" s="4"/>
      <c r="L173" s="4"/>
      <c r="M173" s="18" t="str">
        <f t="shared" si="14"/>
        <v xml:space="preserve">http://slimages.macys.com/is/image/MCY/17620641 </v>
      </c>
      <c r="N173" s="19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6" t="s">
        <v>596</v>
      </c>
      <c r="B174" s="4" t="s">
        <v>597</v>
      </c>
      <c r="C174" s="3">
        <v>5</v>
      </c>
      <c r="D174" s="17">
        <v>24.99</v>
      </c>
      <c r="E174" s="3" t="s">
        <v>598</v>
      </c>
      <c r="F174" s="4"/>
      <c r="G174" s="16"/>
      <c r="H174" s="17">
        <v>12.071005917159761</v>
      </c>
      <c r="I174" s="4" t="s">
        <v>44</v>
      </c>
      <c r="J174" s="4" t="s">
        <v>592</v>
      </c>
      <c r="K174" s="4"/>
      <c r="L174" s="4"/>
      <c r="M174" s="18" t="str">
        <f t="shared" si="14"/>
        <v xml:space="preserve">http://slimages.macys.com/is/image/MCY/17620641 </v>
      </c>
      <c r="N174" s="19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6" t="s">
        <v>596</v>
      </c>
      <c r="B175" s="4" t="s">
        <v>597</v>
      </c>
      <c r="C175" s="3">
        <v>3</v>
      </c>
      <c r="D175" s="17">
        <v>24.99</v>
      </c>
      <c r="E175" s="3" t="s">
        <v>598</v>
      </c>
      <c r="F175" s="4"/>
      <c r="G175" s="16"/>
      <c r="H175" s="17">
        <v>12.071005917159761</v>
      </c>
      <c r="I175" s="4" t="s">
        <v>44</v>
      </c>
      <c r="J175" s="4" t="s">
        <v>592</v>
      </c>
      <c r="K175" s="4"/>
      <c r="L175" s="4"/>
      <c r="M175" s="18" t="str">
        <f t="shared" si="14"/>
        <v xml:space="preserve">http://slimages.macys.com/is/image/MCY/17620641 </v>
      </c>
      <c r="N175" s="19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6" t="s">
        <v>599</v>
      </c>
      <c r="B176" s="4" t="s">
        <v>600</v>
      </c>
      <c r="C176" s="3">
        <v>3</v>
      </c>
      <c r="D176" s="17">
        <v>24.99</v>
      </c>
      <c r="E176" s="3" t="s">
        <v>601</v>
      </c>
      <c r="F176" s="4"/>
      <c r="G176" s="16"/>
      <c r="H176" s="17">
        <v>12.071005917159761</v>
      </c>
      <c r="I176" s="4" t="s">
        <v>44</v>
      </c>
      <c r="J176" s="4" t="s">
        <v>592</v>
      </c>
      <c r="K176" s="4"/>
      <c r="L176" s="4"/>
      <c r="M176" s="18" t="str">
        <f t="shared" si="14"/>
        <v xml:space="preserve">http://slimages.macys.com/is/image/MCY/17620641 </v>
      </c>
      <c r="N176" s="19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6" t="s">
        <v>599</v>
      </c>
      <c r="B177" s="4" t="s">
        <v>600</v>
      </c>
      <c r="C177" s="3">
        <v>3</v>
      </c>
      <c r="D177" s="17">
        <v>24.99</v>
      </c>
      <c r="E177" s="3" t="s">
        <v>601</v>
      </c>
      <c r="F177" s="4"/>
      <c r="G177" s="16"/>
      <c r="H177" s="17">
        <v>12.071005917159761</v>
      </c>
      <c r="I177" s="4" t="s">
        <v>44</v>
      </c>
      <c r="J177" s="4" t="s">
        <v>592</v>
      </c>
      <c r="K177" s="4"/>
      <c r="L177" s="4"/>
      <c r="M177" s="18" t="str">
        <f t="shared" si="14"/>
        <v xml:space="preserve">http://slimages.macys.com/is/image/MCY/17620641 </v>
      </c>
      <c r="N177" s="19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6" t="s">
        <v>596</v>
      </c>
      <c r="B178" s="4" t="s">
        <v>597</v>
      </c>
      <c r="C178" s="3">
        <v>2</v>
      </c>
      <c r="D178" s="17">
        <v>24.99</v>
      </c>
      <c r="E178" s="3" t="s">
        <v>598</v>
      </c>
      <c r="F178" s="4"/>
      <c r="G178" s="16"/>
      <c r="H178" s="17">
        <v>12.071005917159761</v>
      </c>
      <c r="I178" s="4" t="s">
        <v>44</v>
      </c>
      <c r="J178" s="4" t="s">
        <v>592</v>
      </c>
      <c r="K178" s="4"/>
      <c r="L178" s="4"/>
      <c r="M178" s="18" t="str">
        <f t="shared" si="14"/>
        <v xml:space="preserve">http://slimages.macys.com/is/image/MCY/17620641 </v>
      </c>
      <c r="N178" s="19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6" t="s">
        <v>602</v>
      </c>
      <c r="B179" s="4" t="s">
        <v>603</v>
      </c>
      <c r="C179" s="3">
        <v>4</v>
      </c>
      <c r="D179" s="17">
        <v>29.99</v>
      </c>
      <c r="E179" s="3" t="s">
        <v>604</v>
      </c>
      <c r="F179" s="4" t="s">
        <v>605</v>
      </c>
      <c r="G179" s="16"/>
      <c r="H179" s="17">
        <v>12.01420118343195</v>
      </c>
      <c r="I179" s="4" t="s">
        <v>44</v>
      </c>
      <c r="J179" s="4" t="s">
        <v>543</v>
      </c>
      <c r="K179" s="4"/>
      <c r="L179" s="4"/>
      <c r="M179" s="18" t="str">
        <f>HYPERLINK("http://slimages.macys.com/is/image/MCY/19530288 ")</f>
        <v xml:space="preserve">http://slimages.macys.com/is/image/MCY/19530288 </v>
      </c>
      <c r="N179" s="19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6" t="s">
        <v>606</v>
      </c>
      <c r="B180" s="4" t="s">
        <v>607</v>
      </c>
      <c r="C180" s="3">
        <v>2</v>
      </c>
      <c r="D180" s="17">
        <v>38.99</v>
      </c>
      <c r="E180" s="3" t="s">
        <v>608</v>
      </c>
      <c r="F180" s="4" t="s">
        <v>216</v>
      </c>
      <c r="G180" s="16" t="s">
        <v>559</v>
      </c>
      <c r="H180" s="17">
        <v>11.788165680473373</v>
      </c>
      <c r="I180" s="4" t="s">
        <v>55</v>
      </c>
      <c r="J180" s="4" t="s">
        <v>127</v>
      </c>
      <c r="K180" s="4" t="s">
        <v>33</v>
      </c>
      <c r="L180" s="4" t="s">
        <v>609</v>
      </c>
      <c r="M180" s="18" t="str">
        <f>HYPERLINK("http://slimages.macys.com/is/image/MCY/10005631 ")</f>
        <v xml:space="preserve">http://slimages.macys.com/is/image/MCY/10005631 </v>
      </c>
      <c r="N180" s="19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6" t="s">
        <v>610</v>
      </c>
      <c r="B181" s="4" t="s">
        <v>611</v>
      </c>
      <c r="C181" s="3">
        <v>1</v>
      </c>
      <c r="D181" s="17">
        <v>24.99</v>
      </c>
      <c r="E181" s="3">
        <v>10012961500</v>
      </c>
      <c r="F181" s="4" t="s">
        <v>60</v>
      </c>
      <c r="G181" s="16"/>
      <c r="H181" s="17">
        <v>11.610887573964495</v>
      </c>
      <c r="I181" s="4" t="s">
        <v>612</v>
      </c>
      <c r="J181" s="4" t="s">
        <v>613</v>
      </c>
      <c r="K181" s="4"/>
      <c r="L181" s="4"/>
      <c r="M181" s="18" t="str">
        <f>HYPERLINK("http://slimages.macys.com/is/image/MCY/19678048 ")</f>
        <v xml:space="preserve">http://slimages.macys.com/is/image/MCY/19678048 </v>
      </c>
      <c r="N181" s="19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6" t="s">
        <v>614</v>
      </c>
      <c r="B182" s="4" t="s">
        <v>615</v>
      </c>
      <c r="C182" s="3">
        <v>4</v>
      </c>
      <c r="D182" s="17">
        <v>35.99</v>
      </c>
      <c r="E182" s="3" t="s">
        <v>616</v>
      </c>
      <c r="F182" s="4" t="s">
        <v>202</v>
      </c>
      <c r="G182" s="16"/>
      <c r="H182" s="17">
        <v>11.588165680473372</v>
      </c>
      <c r="I182" s="4" t="s">
        <v>44</v>
      </c>
      <c r="J182" s="4" t="s">
        <v>588</v>
      </c>
      <c r="K182" s="4" t="s">
        <v>33</v>
      </c>
      <c r="L182" s="4" t="s">
        <v>151</v>
      </c>
      <c r="M182" s="18" t="str">
        <f>HYPERLINK("http://slimages.macys.com/is/image/MCY/11685227 ")</f>
        <v xml:space="preserve">http://slimages.macys.com/is/image/MCY/11685227 </v>
      </c>
      <c r="N182" s="19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6" t="s">
        <v>617</v>
      </c>
      <c r="B183" s="4" t="s">
        <v>618</v>
      </c>
      <c r="C183" s="3">
        <v>2</v>
      </c>
      <c r="D183" s="17">
        <v>49.99</v>
      </c>
      <c r="E183" s="3">
        <v>10004406200</v>
      </c>
      <c r="F183" s="4" t="s">
        <v>49</v>
      </c>
      <c r="G183" s="16" t="s">
        <v>559</v>
      </c>
      <c r="H183" s="17">
        <v>11.465088757396449</v>
      </c>
      <c r="I183" s="4" t="s">
        <v>168</v>
      </c>
      <c r="J183" s="4" t="s">
        <v>249</v>
      </c>
      <c r="K183" s="4" t="s">
        <v>619</v>
      </c>
      <c r="L183" s="4"/>
      <c r="M183" s="18" t="str">
        <f>HYPERLINK("http://slimages.macys.com/is/image/MCY/11321778 ")</f>
        <v xml:space="preserve">http://slimages.macys.com/is/image/MCY/11321778 </v>
      </c>
      <c r="N183" s="19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6" t="s">
        <v>620</v>
      </c>
      <c r="B184" s="4" t="s">
        <v>621</v>
      </c>
      <c r="C184" s="3">
        <v>1</v>
      </c>
      <c r="D184" s="17">
        <v>35.99</v>
      </c>
      <c r="E184" s="3" t="s">
        <v>622</v>
      </c>
      <c r="F184" s="4" t="s">
        <v>38</v>
      </c>
      <c r="G184" s="16"/>
      <c r="H184" s="17">
        <v>11.25680473372781</v>
      </c>
      <c r="I184" s="4" t="s">
        <v>44</v>
      </c>
      <c r="J184" s="4" t="s">
        <v>325</v>
      </c>
      <c r="K184" s="4" t="s">
        <v>33</v>
      </c>
      <c r="L184" s="4" t="s">
        <v>151</v>
      </c>
      <c r="M184" s="18" t="str">
        <f>HYPERLINK("http://slimages.macys.com/is/image/MCY/12266201 ")</f>
        <v xml:space="preserve">http://slimages.macys.com/is/image/MCY/12266201 </v>
      </c>
      <c r="N184" s="19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6" t="s">
        <v>623</v>
      </c>
      <c r="B185" s="4" t="s">
        <v>624</v>
      </c>
      <c r="C185" s="3">
        <v>3</v>
      </c>
      <c r="D185" s="17">
        <v>32.99</v>
      </c>
      <c r="E185" s="3" t="s">
        <v>625</v>
      </c>
      <c r="F185" s="4" t="s">
        <v>294</v>
      </c>
      <c r="G185" s="16"/>
      <c r="H185" s="17">
        <v>11.247337278106507</v>
      </c>
      <c r="I185" s="4" t="s">
        <v>44</v>
      </c>
      <c r="J185" s="4" t="s">
        <v>588</v>
      </c>
      <c r="K185" s="4" t="s">
        <v>33</v>
      </c>
      <c r="L185" s="4" t="s">
        <v>151</v>
      </c>
      <c r="M185" s="18" t="str">
        <f>HYPERLINK("http://slimages.macys.com/is/image/MCY/11685179 ")</f>
        <v xml:space="preserve">http://slimages.macys.com/is/image/MCY/11685179 </v>
      </c>
      <c r="N185" s="19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6" t="s">
        <v>626</v>
      </c>
      <c r="B186" s="4" t="s">
        <v>627</v>
      </c>
      <c r="C186" s="3">
        <v>1</v>
      </c>
      <c r="D186" s="17">
        <v>20.99</v>
      </c>
      <c r="E186" s="3" t="s">
        <v>628</v>
      </c>
      <c r="F186" s="4" t="s">
        <v>60</v>
      </c>
      <c r="G186" s="16" t="s">
        <v>629</v>
      </c>
      <c r="H186" s="17">
        <v>11.173491124260353</v>
      </c>
      <c r="I186" s="4" t="s">
        <v>630</v>
      </c>
      <c r="J186" s="4" t="s">
        <v>631</v>
      </c>
      <c r="K186" s="4"/>
      <c r="L186" s="4"/>
      <c r="M186" s="18" t="str">
        <f>HYPERLINK("http://slimages.macys.com/is/image/MCY/20551463 ")</f>
        <v xml:space="preserve">http://slimages.macys.com/is/image/MCY/20551463 </v>
      </c>
      <c r="N186" s="19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6" t="s">
        <v>632</v>
      </c>
      <c r="B187" s="4" t="s">
        <v>633</v>
      </c>
      <c r="C187" s="3">
        <v>2</v>
      </c>
      <c r="D187" s="17">
        <v>24.99</v>
      </c>
      <c r="E187" s="3" t="s">
        <v>634</v>
      </c>
      <c r="F187" s="4"/>
      <c r="G187" s="16"/>
      <c r="H187" s="17">
        <v>11.133727810650885</v>
      </c>
      <c r="I187" s="4" t="s">
        <v>44</v>
      </c>
      <c r="J187" s="4" t="s">
        <v>543</v>
      </c>
      <c r="K187" s="4"/>
      <c r="L187" s="4"/>
      <c r="M187" s="18" t="str">
        <f>HYPERLINK("http://slimages.macys.com/is/image/MCY/19413657 ")</f>
        <v xml:space="preserve">http://slimages.macys.com/is/image/MCY/19413657 </v>
      </c>
      <c r="N187" s="19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6" t="s">
        <v>635</v>
      </c>
      <c r="B188" s="4" t="s">
        <v>636</v>
      </c>
      <c r="C188" s="3">
        <v>1</v>
      </c>
      <c r="D188" s="17">
        <v>24.99</v>
      </c>
      <c r="E188" s="3" t="s">
        <v>637</v>
      </c>
      <c r="F188" s="4" t="s">
        <v>60</v>
      </c>
      <c r="G188" s="16"/>
      <c r="H188" s="17">
        <v>11.133727810650885</v>
      </c>
      <c r="I188" s="4" t="s">
        <v>44</v>
      </c>
      <c r="J188" s="4" t="s">
        <v>543</v>
      </c>
      <c r="K188" s="4"/>
      <c r="L188" s="4"/>
      <c r="M188" s="18" t="str">
        <f>HYPERLINK("http://slimages.macys.com/is/image/MCY/19413640 ")</f>
        <v xml:space="preserve">http://slimages.macys.com/is/image/MCY/19413640 </v>
      </c>
      <c r="N188" s="19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6" t="s">
        <v>632</v>
      </c>
      <c r="B189" s="4" t="s">
        <v>633</v>
      </c>
      <c r="C189" s="3">
        <v>1</v>
      </c>
      <c r="D189" s="17">
        <v>24.99</v>
      </c>
      <c r="E189" s="3" t="s">
        <v>634</v>
      </c>
      <c r="F189" s="4"/>
      <c r="G189" s="16"/>
      <c r="H189" s="17">
        <v>11.133727810650885</v>
      </c>
      <c r="I189" s="4" t="s">
        <v>44</v>
      </c>
      <c r="J189" s="4" t="s">
        <v>543</v>
      </c>
      <c r="K189" s="4"/>
      <c r="L189" s="4"/>
      <c r="M189" s="18" t="str">
        <f>HYPERLINK("http://slimages.macys.com/is/image/MCY/19413657 ")</f>
        <v xml:space="preserve">http://slimages.macys.com/is/image/MCY/19413657 </v>
      </c>
      <c r="N189" s="19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6" t="s">
        <v>638</v>
      </c>
      <c r="B190" s="4" t="s">
        <v>639</v>
      </c>
      <c r="C190" s="3">
        <v>3</v>
      </c>
      <c r="D190" s="17">
        <v>24.99</v>
      </c>
      <c r="E190" s="3" t="s">
        <v>640</v>
      </c>
      <c r="F190" s="4" t="s">
        <v>605</v>
      </c>
      <c r="G190" s="16"/>
      <c r="H190" s="17">
        <v>11.133727810650885</v>
      </c>
      <c r="I190" s="4" t="s">
        <v>44</v>
      </c>
      <c r="J190" s="4" t="s">
        <v>543</v>
      </c>
      <c r="K190" s="4"/>
      <c r="L190" s="4"/>
      <c r="M190" s="18" t="str">
        <f>HYPERLINK("http://slimages.macys.com/is/image/MCY/18771516 ")</f>
        <v xml:space="preserve">http://slimages.macys.com/is/image/MCY/18771516 </v>
      </c>
      <c r="N190" s="19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6" t="s">
        <v>641</v>
      </c>
      <c r="B191" s="4" t="s">
        <v>642</v>
      </c>
      <c r="C191" s="3">
        <v>1</v>
      </c>
      <c r="D191" s="17">
        <v>24.99</v>
      </c>
      <c r="E191" s="3" t="s">
        <v>643</v>
      </c>
      <c r="F191" s="4" t="s">
        <v>49</v>
      </c>
      <c r="G191" s="16" t="s">
        <v>644</v>
      </c>
      <c r="H191" s="17">
        <v>11.133727810650885</v>
      </c>
      <c r="I191" s="4" t="s">
        <v>44</v>
      </c>
      <c r="J191" s="4" t="s">
        <v>543</v>
      </c>
      <c r="K191" s="4"/>
      <c r="L191" s="4"/>
      <c r="M191" s="18" t="str">
        <f>HYPERLINK("http://slimages.macys.com/is/image/MCY/18592190 ")</f>
        <v xml:space="preserve">http://slimages.macys.com/is/image/MCY/18592190 </v>
      </c>
      <c r="N191" s="19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6" t="s">
        <v>632</v>
      </c>
      <c r="B192" s="4" t="s">
        <v>633</v>
      </c>
      <c r="C192" s="3">
        <v>1</v>
      </c>
      <c r="D192" s="17">
        <v>24.99</v>
      </c>
      <c r="E192" s="3" t="s">
        <v>634</v>
      </c>
      <c r="F192" s="4"/>
      <c r="G192" s="16"/>
      <c r="H192" s="17">
        <v>11.133727810650885</v>
      </c>
      <c r="I192" s="4" t="s">
        <v>44</v>
      </c>
      <c r="J192" s="4" t="s">
        <v>543</v>
      </c>
      <c r="K192" s="4"/>
      <c r="L192" s="4"/>
      <c r="M192" s="18" t="str">
        <f>HYPERLINK("http://slimages.macys.com/is/image/MCY/19413657 ")</f>
        <v xml:space="preserve">http://slimages.macys.com/is/image/MCY/19413657 </v>
      </c>
      <c r="N192" s="19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6" t="s">
        <v>645</v>
      </c>
      <c r="B193" s="4" t="s">
        <v>646</v>
      </c>
      <c r="C193" s="3">
        <v>1</v>
      </c>
      <c r="D193" s="17">
        <v>24.99</v>
      </c>
      <c r="E193" s="3" t="s">
        <v>647</v>
      </c>
      <c r="F193" s="4" t="s">
        <v>38</v>
      </c>
      <c r="G193" s="16"/>
      <c r="H193" s="17">
        <v>11.124260355029586</v>
      </c>
      <c r="I193" s="4" t="s">
        <v>44</v>
      </c>
      <c r="J193" s="4" t="s">
        <v>45</v>
      </c>
      <c r="K193" s="4"/>
      <c r="L193" s="4"/>
      <c r="M193" s="18" t="str">
        <f t="shared" ref="M193:M196" si="15">HYPERLINK("http://slimages.macys.com/is/image/MCY/19828544 ")</f>
        <v xml:space="preserve">http://slimages.macys.com/is/image/MCY/19828544 </v>
      </c>
      <c r="N193" s="19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6" t="s">
        <v>645</v>
      </c>
      <c r="B194" s="4" t="s">
        <v>646</v>
      </c>
      <c r="C194" s="3">
        <v>3</v>
      </c>
      <c r="D194" s="17">
        <v>24.99</v>
      </c>
      <c r="E194" s="3" t="s">
        <v>647</v>
      </c>
      <c r="F194" s="4" t="s">
        <v>38</v>
      </c>
      <c r="G194" s="16"/>
      <c r="H194" s="17">
        <v>11.124260355029586</v>
      </c>
      <c r="I194" s="4" t="s">
        <v>44</v>
      </c>
      <c r="J194" s="4" t="s">
        <v>45</v>
      </c>
      <c r="K194" s="4"/>
      <c r="L194" s="4"/>
      <c r="M194" s="18" t="str">
        <f t="shared" si="15"/>
        <v xml:space="preserve">http://slimages.macys.com/is/image/MCY/19828544 </v>
      </c>
      <c r="N194" s="19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6" t="s">
        <v>645</v>
      </c>
      <c r="B195" s="4" t="s">
        <v>646</v>
      </c>
      <c r="C195" s="3">
        <v>1</v>
      </c>
      <c r="D195" s="17">
        <v>24.99</v>
      </c>
      <c r="E195" s="3" t="s">
        <v>647</v>
      </c>
      <c r="F195" s="4" t="s">
        <v>38</v>
      </c>
      <c r="G195" s="16"/>
      <c r="H195" s="17">
        <v>11.124260355029586</v>
      </c>
      <c r="I195" s="4" t="s">
        <v>44</v>
      </c>
      <c r="J195" s="4" t="s">
        <v>45</v>
      </c>
      <c r="K195" s="4"/>
      <c r="L195" s="4"/>
      <c r="M195" s="18" t="str">
        <f t="shared" si="15"/>
        <v xml:space="preserve">http://slimages.macys.com/is/image/MCY/19828544 </v>
      </c>
      <c r="N195" s="19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6" t="s">
        <v>645</v>
      </c>
      <c r="B196" s="4" t="s">
        <v>646</v>
      </c>
      <c r="C196" s="3">
        <v>1</v>
      </c>
      <c r="D196" s="17">
        <v>24.99</v>
      </c>
      <c r="E196" s="3" t="s">
        <v>647</v>
      </c>
      <c r="F196" s="4" t="s">
        <v>38</v>
      </c>
      <c r="G196" s="16"/>
      <c r="H196" s="17">
        <v>11.124260355029586</v>
      </c>
      <c r="I196" s="4" t="s">
        <v>44</v>
      </c>
      <c r="J196" s="4" t="s">
        <v>45</v>
      </c>
      <c r="K196" s="4"/>
      <c r="L196" s="4"/>
      <c r="M196" s="18" t="str">
        <f t="shared" si="15"/>
        <v xml:space="preserve">http://slimages.macys.com/is/image/MCY/19828544 </v>
      </c>
      <c r="N196" s="19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6" t="s">
        <v>648</v>
      </c>
      <c r="B197" s="4" t="s">
        <v>649</v>
      </c>
      <c r="C197" s="3">
        <v>3</v>
      </c>
      <c r="D197" s="17">
        <v>29.99</v>
      </c>
      <c r="E197" s="3" t="s">
        <v>650</v>
      </c>
      <c r="F197" s="4" t="s">
        <v>162</v>
      </c>
      <c r="G197" s="16"/>
      <c r="H197" s="17">
        <v>10.984615384615383</v>
      </c>
      <c r="I197" s="4" t="s">
        <v>253</v>
      </c>
      <c r="J197" s="4" t="s">
        <v>651</v>
      </c>
      <c r="K197" s="4"/>
      <c r="L197" s="4"/>
      <c r="M197" s="18" t="str">
        <f>HYPERLINK("http://slimages.macys.com/is/image/MCY/19884549 ")</f>
        <v xml:space="preserve">http://slimages.macys.com/is/image/MCY/19884549 </v>
      </c>
      <c r="N197" s="19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6" t="s">
        <v>652</v>
      </c>
      <c r="B198" s="4" t="s">
        <v>653</v>
      </c>
      <c r="C198" s="3">
        <v>3</v>
      </c>
      <c r="D198" s="17">
        <v>34.99</v>
      </c>
      <c r="E198" s="3" t="s">
        <v>654</v>
      </c>
      <c r="F198" s="4" t="s">
        <v>82</v>
      </c>
      <c r="G198" s="16"/>
      <c r="H198" s="17">
        <v>10.859171597633134</v>
      </c>
      <c r="I198" s="4" t="s">
        <v>44</v>
      </c>
      <c r="J198" s="4" t="s">
        <v>325</v>
      </c>
      <c r="K198" s="4" t="s">
        <v>33</v>
      </c>
      <c r="L198" s="4" t="s">
        <v>128</v>
      </c>
      <c r="M198" s="18" t="str">
        <f>HYPERLINK("http://slimages.macys.com/is/image/MCY/11552572 ")</f>
        <v xml:space="preserve">http://slimages.macys.com/is/image/MCY/11552572 </v>
      </c>
      <c r="N198" s="19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6" t="s">
        <v>655</v>
      </c>
      <c r="B199" s="4" t="s">
        <v>656</v>
      </c>
      <c r="C199" s="3">
        <v>2</v>
      </c>
      <c r="D199" s="17">
        <v>24.99</v>
      </c>
      <c r="E199" s="3" t="s">
        <v>657</v>
      </c>
      <c r="F199" s="4" t="s">
        <v>38</v>
      </c>
      <c r="G199" s="16"/>
      <c r="H199" s="17">
        <v>10.698224852071004</v>
      </c>
      <c r="I199" s="4" t="s">
        <v>44</v>
      </c>
      <c r="J199" s="4" t="s">
        <v>543</v>
      </c>
      <c r="K199" s="4"/>
      <c r="L199" s="4"/>
      <c r="M199" s="18" t="str">
        <f t="shared" ref="M199:M200" si="16">HYPERLINK("http://slimages.macys.com/is/image/MCY/18173366 ")</f>
        <v xml:space="preserve">http://slimages.macys.com/is/image/MCY/18173366 </v>
      </c>
      <c r="N199" s="19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6" t="s">
        <v>655</v>
      </c>
      <c r="B200" s="4" t="s">
        <v>656</v>
      </c>
      <c r="C200" s="3">
        <v>1</v>
      </c>
      <c r="D200" s="17">
        <v>24.99</v>
      </c>
      <c r="E200" s="3" t="s">
        <v>657</v>
      </c>
      <c r="F200" s="4" t="s">
        <v>38</v>
      </c>
      <c r="G200" s="16"/>
      <c r="H200" s="17">
        <v>10.698224852071004</v>
      </c>
      <c r="I200" s="4" t="s">
        <v>44</v>
      </c>
      <c r="J200" s="4" t="s">
        <v>543</v>
      </c>
      <c r="K200" s="4"/>
      <c r="L200" s="4"/>
      <c r="M200" s="18" t="str">
        <f t="shared" si="16"/>
        <v xml:space="preserve">http://slimages.macys.com/is/image/MCY/18173366 </v>
      </c>
      <c r="N200" s="19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6" t="s">
        <v>658</v>
      </c>
      <c r="B201" s="4" t="s">
        <v>659</v>
      </c>
      <c r="C201" s="3">
        <v>2</v>
      </c>
      <c r="D201" s="17">
        <v>29.99</v>
      </c>
      <c r="E201" s="3">
        <v>2000002065</v>
      </c>
      <c r="F201" s="4"/>
      <c r="G201" s="16"/>
      <c r="H201" s="17">
        <v>10.504142011834318</v>
      </c>
      <c r="I201" s="4" t="s">
        <v>55</v>
      </c>
      <c r="J201" s="4" t="s">
        <v>254</v>
      </c>
      <c r="K201" s="4"/>
      <c r="L201" s="4"/>
      <c r="M201" s="18" t="str">
        <f>HYPERLINK("http://slimages.macys.com/is/image/MCY/19067011 ")</f>
        <v xml:space="preserve">http://slimages.macys.com/is/image/MCY/19067011 </v>
      </c>
      <c r="N201" s="19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6" t="s">
        <v>660</v>
      </c>
      <c r="B202" s="4" t="s">
        <v>661</v>
      </c>
      <c r="C202" s="3">
        <v>1</v>
      </c>
      <c r="D202" s="17">
        <v>29.99</v>
      </c>
      <c r="E202" s="3" t="s">
        <v>662</v>
      </c>
      <c r="F202" s="4"/>
      <c r="G202" s="16"/>
      <c r="H202" s="17">
        <v>10.214201183431951</v>
      </c>
      <c r="I202" s="4" t="s">
        <v>55</v>
      </c>
      <c r="J202" s="4" t="s">
        <v>127</v>
      </c>
      <c r="K202" s="4"/>
      <c r="L202" s="4"/>
      <c r="M202" s="18" t="str">
        <f>HYPERLINK("http://slimages.macys.com/is/image/MCY/17597058 ")</f>
        <v xml:space="preserve">http://slimages.macys.com/is/image/MCY/17597058 </v>
      </c>
      <c r="N202" s="19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6" t="s">
        <v>663</v>
      </c>
      <c r="B203" s="4" t="s">
        <v>664</v>
      </c>
      <c r="C203" s="3">
        <v>1</v>
      </c>
      <c r="D203" s="17">
        <v>29.99</v>
      </c>
      <c r="E203" s="3" t="s">
        <v>665</v>
      </c>
      <c r="F203" s="4"/>
      <c r="G203" s="16"/>
      <c r="H203" s="17">
        <v>10.214201183431951</v>
      </c>
      <c r="I203" s="4" t="s">
        <v>55</v>
      </c>
      <c r="J203" s="4" t="s">
        <v>127</v>
      </c>
      <c r="K203" s="4"/>
      <c r="L203" s="4"/>
      <c r="M203" s="18" t="str">
        <f>HYPERLINK("http://slimages.macys.com/is/image/MCY/18987438 ")</f>
        <v xml:space="preserve">http://slimages.macys.com/is/image/MCY/18987438 </v>
      </c>
      <c r="N203" s="19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6" t="s">
        <v>666</v>
      </c>
      <c r="B204" s="4" t="s">
        <v>667</v>
      </c>
      <c r="C204" s="3">
        <v>3</v>
      </c>
      <c r="D204" s="17">
        <v>29.99</v>
      </c>
      <c r="E204" s="3" t="s">
        <v>668</v>
      </c>
      <c r="F204" s="4"/>
      <c r="G204" s="16"/>
      <c r="H204" s="17">
        <v>10.214201183431951</v>
      </c>
      <c r="I204" s="4" t="s">
        <v>55</v>
      </c>
      <c r="J204" s="4" t="s">
        <v>127</v>
      </c>
      <c r="K204" s="4"/>
      <c r="L204" s="4"/>
      <c r="M204" s="18" t="str">
        <f t="shared" ref="M204:M205" si="17">HYPERLINK("http://slimages.macys.com/is/image/MCY/18716660 ")</f>
        <v xml:space="preserve">http://slimages.macys.com/is/image/MCY/18716660 </v>
      </c>
      <c r="N204" s="19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6" t="s">
        <v>666</v>
      </c>
      <c r="B205" s="4" t="s">
        <v>667</v>
      </c>
      <c r="C205" s="3">
        <v>2</v>
      </c>
      <c r="D205" s="17">
        <v>29.99</v>
      </c>
      <c r="E205" s="3" t="s">
        <v>668</v>
      </c>
      <c r="F205" s="4"/>
      <c r="G205" s="16"/>
      <c r="H205" s="17">
        <v>10.214201183431951</v>
      </c>
      <c r="I205" s="4" t="s">
        <v>55</v>
      </c>
      <c r="J205" s="4" t="s">
        <v>127</v>
      </c>
      <c r="K205" s="4"/>
      <c r="L205" s="4"/>
      <c r="M205" s="18" t="str">
        <f t="shared" si="17"/>
        <v xml:space="preserve">http://slimages.macys.com/is/image/MCY/18716660 </v>
      </c>
      <c r="N205" s="19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6" t="s">
        <v>669</v>
      </c>
      <c r="B206" s="4" t="s">
        <v>670</v>
      </c>
      <c r="C206" s="3">
        <v>2</v>
      </c>
      <c r="D206" s="17">
        <v>29.99</v>
      </c>
      <c r="E206" s="3" t="s">
        <v>671</v>
      </c>
      <c r="F206" s="4" t="s">
        <v>162</v>
      </c>
      <c r="G206" s="16"/>
      <c r="H206" s="17">
        <v>10.065088757396451</v>
      </c>
      <c r="I206" s="4" t="s">
        <v>253</v>
      </c>
      <c r="J206" s="4" t="s">
        <v>651</v>
      </c>
      <c r="K206" s="4"/>
      <c r="L206" s="4"/>
      <c r="M206" s="18" t="str">
        <f t="shared" ref="M206:M207" si="18">HYPERLINK("http://slimages.macys.com/is/image/MCY/19884528 ")</f>
        <v xml:space="preserve">http://slimages.macys.com/is/image/MCY/19884528 </v>
      </c>
      <c r="N206" s="19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6" t="s">
        <v>669</v>
      </c>
      <c r="B207" s="4" t="s">
        <v>670</v>
      </c>
      <c r="C207" s="3">
        <v>1</v>
      </c>
      <c r="D207" s="17">
        <v>29.99</v>
      </c>
      <c r="E207" s="3" t="s">
        <v>671</v>
      </c>
      <c r="F207" s="4" t="s">
        <v>162</v>
      </c>
      <c r="G207" s="16"/>
      <c r="H207" s="17">
        <v>10.065088757396451</v>
      </c>
      <c r="I207" s="4" t="s">
        <v>253</v>
      </c>
      <c r="J207" s="4" t="s">
        <v>651</v>
      </c>
      <c r="K207" s="4"/>
      <c r="L207" s="4"/>
      <c r="M207" s="18" t="str">
        <f t="shared" si="18"/>
        <v xml:space="preserve">http://slimages.macys.com/is/image/MCY/19884528 </v>
      </c>
      <c r="N207" s="19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6" t="s">
        <v>672</v>
      </c>
      <c r="B208" s="4" t="s">
        <v>673</v>
      </c>
      <c r="C208" s="3">
        <v>1</v>
      </c>
      <c r="D208" s="17">
        <v>8.99</v>
      </c>
      <c r="E208" s="3" t="s">
        <v>674</v>
      </c>
      <c r="F208" s="4" t="s">
        <v>38</v>
      </c>
      <c r="G208" s="16" t="s">
        <v>629</v>
      </c>
      <c r="H208" s="17">
        <v>9.9905325443786985</v>
      </c>
      <c r="I208" s="4" t="s">
        <v>630</v>
      </c>
      <c r="J208" s="4" t="s">
        <v>357</v>
      </c>
      <c r="K208" s="4" t="s">
        <v>33</v>
      </c>
      <c r="L208" s="4" t="s">
        <v>568</v>
      </c>
      <c r="M208" s="18" t="str">
        <f>HYPERLINK("http://slimages.macys.com/is/image/MCY/1451912 ")</f>
        <v xml:space="preserve">http://slimages.macys.com/is/image/MCY/1451912 </v>
      </c>
      <c r="N208" s="19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6" t="s">
        <v>675</v>
      </c>
      <c r="B209" s="4" t="s">
        <v>676</v>
      </c>
      <c r="C209" s="3">
        <v>3</v>
      </c>
      <c r="D209" s="17">
        <v>22.99</v>
      </c>
      <c r="E209" s="3" t="s">
        <v>677</v>
      </c>
      <c r="F209" s="4" t="s">
        <v>49</v>
      </c>
      <c r="G209" s="16" t="s">
        <v>203</v>
      </c>
      <c r="H209" s="17">
        <v>9.9881656804733705</v>
      </c>
      <c r="I209" s="4" t="s">
        <v>44</v>
      </c>
      <c r="J209" s="4" t="s">
        <v>45</v>
      </c>
      <c r="K209" s="4" t="s">
        <v>33</v>
      </c>
      <c r="L209" s="4" t="s">
        <v>678</v>
      </c>
      <c r="M209" s="18" t="str">
        <f t="shared" ref="M209:M210" si="19">HYPERLINK("http://slimages.macys.com/is/image/MCY/9602397 ")</f>
        <v xml:space="preserve">http://slimages.macys.com/is/image/MCY/9602397 </v>
      </c>
      <c r="N209" s="19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6" t="s">
        <v>679</v>
      </c>
      <c r="B210" s="4" t="s">
        <v>680</v>
      </c>
      <c r="C210" s="3">
        <v>1</v>
      </c>
      <c r="D210" s="17">
        <v>22.99</v>
      </c>
      <c r="E210" s="3" t="s">
        <v>681</v>
      </c>
      <c r="F210" s="4" t="s">
        <v>102</v>
      </c>
      <c r="G210" s="16" t="s">
        <v>203</v>
      </c>
      <c r="H210" s="17">
        <v>9.9881656804733705</v>
      </c>
      <c r="I210" s="4" t="s">
        <v>44</v>
      </c>
      <c r="J210" s="4" t="s">
        <v>45</v>
      </c>
      <c r="K210" s="4" t="s">
        <v>33</v>
      </c>
      <c r="L210" s="4" t="s">
        <v>678</v>
      </c>
      <c r="M210" s="18" t="str">
        <f t="shared" si="19"/>
        <v xml:space="preserve">http://slimages.macys.com/is/image/MCY/9602397 </v>
      </c>
      <c r="N210" s="19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6" t="s">
        <v>682</v>
      </c>
      <c r="B211" s="4" t="s">
        <v>683</v>
      </c>
      <c r="C211" s="3">
        <v>6</v>
      </c>
      <c r="D211" s="17">
        <v>29.99</v>
      </c>
      <c r="E211" s="3" t="s">
        <v>684</v>
      </c>
      <c r="F211" s="4" t="s">
        <v>49</v>
      </c>
      <c r="G211" s="16"/>
      <c r="H211" s="17">
        <v>9.9822485207100584</v>
      </c>
      <c r="I211" s="4" t="s">
        <v>55</v>
      </c>
      <c r="J211" s="4" t="s">
        <v>685</v>
      </c>
      <c r="K211" s="4"/>
      <c r="L211" s="4"/>
      <c r="M211" s="18" t="str">
        <f>HYPERLINK("http://slimages.macys.com/is/image/MCY/18543479 ")</f>
        <v xml:space="preserve">http://slimages.macys.com/is/image/MCY/18543479 </v>
      </c>
      <c r="N211" s="19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6" t="s">
        <v>686</v>
      </c>
      <c r="B212" s="4" t="s">
        <v>687</v>
      </c>
      <c r="C212" s="3">
        <v>1</v>
      </c>
      <c r="D212" s="17">
        <v>39.99</v>
      </c>
      <c r="E212" s="3" t="s">
        <v>688</v>
      </c>
      <c r="F212" s="4"/>
      <c r="G212" s="16"/>
      <c r="H212" s="17">
        <v>9.9408284023668632</v>
      </c>
      <c r="I212" s="4" t="s">
        <v>137</v>
      </c>
      <c r="J212" s="4" t="s">
        <v>138</v>
      </c>
      <c r="K212" s="4" t="s">
        <v>33</v>
      </c>
      <c r="L212" s="4" t="s">
        <v>128</v>
      </c>
      <c r="M212" s="18" t="str">
        <f>HYPERLINK("http://slimages.macys.com/is/image/MCY/16177372 ")</f>
        <v xml:space="preserve">http://slimages.macys.com/is/image/MCY/16177372 </v>
      </c>
      <c r="N212" s="19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6" t="s">
        <v>689</v>
      </c>
      <c r="B213" s="4" t="s">
        <v>690</v>
      </c>
      <c r="C213" s="3">
        <v>2</v>
      </c>
      <c r="D213" s="17">
        <v>19.989999999999998</v>
      </c>
      <c r="E213" s="3" t="s">
        <v>691</v>
      </c>
      <c r="F213" s="4" t="s">
        <v>38</v>
      </c>
      <c r="G213" s="16"/>
      <c r="H213" s="17">
        <v>9.4674556213017738</v>
      </c>
      <c r="I213" s="4" t="s">
        <v>64</v>
      </c>
      <c r="J213" s="4" t="s">
        <v>692</v>
      </c>
      <c r="K213" s="4" t="s">
        <v>33</v>
      </c>
      <c r="L213" s="4" t="s">
        <v>39</v>
      </c>
      <c r="M213" s="18" t="str">
        <f>HYPERLINK("http://slimages.macys.com/is/image/MCY/3685743 ")</f>
        <v xml:space="preserve">http://slimages.macys.com/is/image/MCY/3685743 </v>
      </c>
      <c r="N213" s="19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6" t="s">
        <v>693</v>
      </c>
      <c r="B214" s="4" t="s">
        <v>694</v>
      </c>
      <c r="C214" s="3">
        <v>2</v>
      </c>
      <c r="D214" s="17">
        <v>46.99</v>
      </c>
      <c r="E214" s="3" t="s">
        <v>695</v>
      </c>
      <c r="F214" s="4" t="s">
        <v>355</v>
      </c>
      <c r="G214" s="16"/>
      <c r="H214" s="17">
        <v>9.4437869822485219</v>
      </c>
      <c r="I214" s="4" t="s">
        <v>356</v>
      </c>
      <c r="J214" s="4" t="s">
        <v>696</v>
      </c>
      <c r="K214" s="4" t="s">
        <v>33</v>
      </c>
      <c r="L214" s="4" t="s">
        <v>320</v>
      </c>
      <c r="M214" s="18" t="str">
        <f>HYPERLINK("http://slimages.macys.com/is/image/MCY/15923402 ")</f>
        <v xml:space="preserve">http://slimages.macys.com/is/image/MCY/15923402 </v>
      </c>
      <c r="N214" s="19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6" t="s">
        <v>697</v>
      </c>
      <c r="B215" s="4" t="s">
        <v>698</v>
      </c>
      <c r="C215" s="3">
        <v>2</v>
      </c>
      <c r="D215" s="17">
        <v>19.989999999999998</v>
      </c>
      <c r="E215" s="3" t="s">
        <v>699</v>
      </c>
      <c r="F215" s="4" t="s">
        <v>216</v>
      </c>
      <c r="G215" s="16"/>
      <c r="H215" s="17">
        <v>9.3940828402366847</v>
      </c>
      <c r="I215" s="4" t="s">
        <v>356</v>
      </c>
      <c r="J215" s="4" t="s">
        <v>301</v>
      </c>
      <c r="K215" s="4"/>
      <c r="L215" s="4"/>
      <c r="M215" s="18" t="str">
        <f>HYPERLINK("http://slimages.macys.com/is/image/MCY/18837537 ")</f>
        <v xml:space="preserve">http://slimages.macys.com/is/image/MCY/18837537 </v>
      </c>
      <c r="N215" s="19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6" t="s">
        <v>700</v>
      </c>
      <c r="B216" s="4" t="s">
        <v>701</v>
      </c>
      <c r="C216" s="3">
        <v>2</v>
      </c>
      <c r="D216" s="17">
        <v>24.99</v>
      </c>
      <c r="E216" s="3" t="s">
        <v>702</v>
      </c>
      <c r="F216" s="4" t="s">
        <v>162</v>
      </c>
      <c r="G216" s="16"/>
      <c r="H216" s="17">
        <v>9.3029585798816559</v>
      </c>
      <c r="I216" s="4" t="s">
        <v>253</v>
      </c>
      <c r="J216" s="4" t="s">
        <v>651</v>
      </c>
      <c r="K216" s="4"/>
      <c r="L216" s="4"/>
      <c r="M216" s="18" t="str">
        <f t="shared" ref="M216:M220" si="20">HYPERLINK("http://slimages.macys.com/is/image/MCY/19884557 ")</f>
        <v xml:space="preserve">http://slimages.macys.com/is/image/MCY/19884557 </v>
      </c>
      <c r="N216" s="19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6" t="s">
        <v>700</v>
      </c>
      <c r="B217" s="4" t="s">
        <v>701</v>
      </c>
      <c r="C217" s="3">
        <v>4</v>
      </c>
      <c r="D217" s="17">
        <v>24.99</v>
      </c>
      <c r="E217" s="3" t="s">
        <v>702</v>
      </c>
      <c r="F217" s="4" t="s">
        <v>162</v>
      </c>
      <c r="G217" s="16"/>
      <c r="H217" s="17">
        <v>9.3029585798816559</v>
      </c>
      <c r="I217" s="4" t="s">
        <v>253</v>
      </c>
      <c r="J217" s="4" t="s">
        <v>651</v>
      </c>
      <c r="K217" s="4"/>
      <c r="L217" s="4"/>
      <c r="M217" s="18" t="str">
        <f t="shared" si="20"/>
        <v xml:space="preserve">http://slimages.macys.com/is/image/MCY/19884557 </v>
      </c>
      <c r="N217" s="19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6" t="s">
        <v>700</v>
      </c>
      <c r="B218" s="4" t="s">
        <v>701</v>
      </c>
      <c r="C218" s="3">
        <v>2</v>
      </c>
      <c r="D218" s="17">
        <v>24.99</v>
      </c>
      <c r="E218" s="3" t="s">
        <v>702</v>
      </c>
      <c r="F218" s="4" t="s">
        <v>162</v>
      </c>
      <c r="G218" s="16"/>
      <c r="H218" s="17">
        <v>9.3029585798816559</v>
      </c>
      <c r="I218" s="4" t="s">
        <v>253</v>
      </c>
      <c r="J218" s="4" t="s">
        <v>651</v>
      </c>
      <c r="K218" s="4"/>
      <c r="L218" s="4"/>
      <c r="M218" s="18" t="str">
        <f t="shared" si="20"/>
        <v xml:space="preserve">http://slimages.macys.com/is/image/MCY/19884557 </v>
      </c>
      <c r="N218" s="19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6" t="s">
        <v>700</v>
      </c>
      <c r="B219" s="4" t="s">
        <v>701</v>
      </c>
      <c r="C219" s="3">
        <v>2</v>
      </c>
      <c r="D219" s="17">
        <v>24.99</v>
      </c>
      <c r="E219" s="3" t="s">
        <v>702</v>
      </c>
      <c r="F219" s="4" t="s">
        <v>162</v>
      </c>
      <c r="G219" s="16"/>
      <c r="H219" s="17">
        <v>9.3029585798816559</v>
      </c>
      <c r="I219" s="4" t="s">
        <v>253</v>
      </c>
      <c r="J219" s="4" t="s">
        <v>651</v>
      </c>
      <c r="K219" s="4"/>
      <c r="L219" s="4"/>
      <c r="M219" s="18" t="str">
        <f t="shared" si="20"/>
        <v xml:space="preserve">http://slimages.macys.com/is/image/MCY/19884557 </v>
      </c>
      <c r="N219" s="19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6" t="s">
        <v>703</v>
      </c>
      <c r="B220" s="4" t="s">
        <v>704</v>
      </c>
      <c r="C220" s="3">
        <v>1</v>
      </c>
      <c r="D220" s="17">
        <v>24.99</v>
      </c>
      <c r="E220" s="3" t="s">
        <v>705</v>
      </c>
      <c r="F220" s="4" t="s">
        <v>287</v>
      </c>
      <c r="G220" s="16"/>
      <c r="H220" s="17">
        <v>9.3029585798816559</v>
      </c>
      <c r="I220" s="4" t="s">
        <v>253</v>
      </c>
      <c r="J220" s="4" t="s">
        <v>651</v>
      </c>
      <c r="K220" s="4"/>
      <c r="L220" s="4"/>
      <c r="M220" s="18" t="str">
        <f t="shared" si="20"/>
        <v xml:space="preserve">http://slimages.macys.com/is/image/MCY/19884557 </v>
      </c>
      <c r="N220" s="19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6" t="s">
        <v>706</v>
      </c>
      <c r="B221" s="4" t="s">
        <v>707</v>
      </c>
      <c r="C221" s="3">
        <v>6</v>
      </c>
      <c r="D221" s="17">
        <v>25.99</v>
      </c>
      <c r="E221" s="3" t="s">
        <v>708</v>
      </c>
      <c r="F221" s="4" t="s">
        <v>506</v>
      </c>
      <c r="G221" s="16"/>
      <c r="H221" s="17">
        <v>9.2591715976331344</v>
      </c>
      <c r="I221" s="4" t="s">
        <v>44</v>
      </c>
      <c r="J221" s="4" t="s">
        <v>709</v>
      </c>
      <c r="K221" s="4" t="s">
        <v>33</v>
      </c>
      <c r="L221" s="4" t="s">
        <v>128</v>
      </c>
      <c r="M221" s="18" t="str">
        <f>HYPERLINK("http://slimages.macys.com/is/image/MCY/9169864 ")</f>
        <v xml:space="preserve">http://slimages.macys.com/is/image/MCY/9169864 </v>
      </c>
      <c r="N221" s="19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6" t="s">
        <v>710</v>
      </c>
      <c r="B222" s="4" t="s">
        <v>711</v>
      </c>
      <c r="C222" s="3">
        <v>1</v>
      </c>
      <c r="D222" s="17">
        <v>24.99</v>
      </c>
      <c r="E222" s="3" t="s">
        <v>712</v>
      </c>
      <c r="F222" s="4" t="s">
        <v>49</v>
      </c>
      <c r="G222" s="16"/>
      <c r="H222" s="17">
        <v>9.2307692307692299</v>
      </c>
      <c r="I222" s="4" t="s">
        <v>44</v>
      </c>
      <c r="J222" s="4" t="s">
        <v>45</v>
      </c>
      <c r="K222" s="4"/>
      <c r="L222" s="4"/>
      <c r="M222" s="18" t="str">
        <f t="shared" ref="M222:M224" si="21">HYPERLINK("http://slimages.macys.com/is/image/MCY/19818561 ")</f>
        <v xml:space="preserve">http://slimages.macys.com/is/image/MCY/19818561 </v>
      </c>
      <c r="N222" s="19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6" t="s">
        <v>713</v>
      </c>
      <c r="B223" s="4" t="s">
        <v>714</v>
      </c>
      <c r="C223" s="3">
        <v>1</v>
      </c>
      <c r="D223" s="17">
        <v>24.99</v>
      </c>
      <c r="E223" s="3" t="s">
        <v>715</v>
      </c>
      <c r="F223" s="4" t="s">
        <v>60</v>
      </c>
      <c r="G223" s="16"/>
      <c r="H223" s="17">
        <v>9.2307692307692299</v>
      </c>
      <c r="I223" s="4" t="s">
        <v>44</v>
      </c>
      <c r="J223" s="4" t="s">
        <v>45</v>
      </c>
      <c r="K223" s="4"/>
      <c r="L223" s="4"/>
      <c r="M223" s="18" t="str">
        <f t="shared" si="21"/>
        <v xml:space="preserve">http://slimages.macys.com/is/image/MCY/19818561 </v>
      </c>
      <c r="N223" s="19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6" t="s">
        <v>713</v>
      </c>
      <c r="B224" s="4" t="s">
        <v>714</v>
      </c>
      <c r="C224" s="3">
        <v>1</v>
      </c>
      <c r="D224" s="17">
        <v>24.99</v>
      </c>
      <c r="E224" s="3" t="s">
        <v>715</v>
      </c>
      <c r="F224" s="4" t="s">
        <v>60</v>
      </c>
      <c r="G224" s="16"/>
      <c r="H224" s="17">
        <v>9.2307692307692299</v>
      </c>
      <c r="I224" s="4" t="s">
        <v>44</v>
      </c>
      <c r="J224" s="4" t="s">
        <v>45</v>
      </c>
      <c r="K224" s="4"/>
      <c r="L224" s="4"/>
      <c r="M224" s="18" t="str">
        <f t="shared" si="21"/>
        <v xml:space="preserve">http://slimages.macys.com/is/image/MCY/19818561 </v>
      </c>
      <c r="N224" s="19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6" t="s">
        <v>716</v>
      </c>
      <c r="B225" s="4" t="s">
        <v>717</v>
      </c>
      <c r="C225" s="3">
        <v>1</v>
      </c>
      <c r="D225" s="17">
        <v>24.99</v>
      </c>
      <c r="E225" s="3" t="s">
        <v>718</v>
      </c>
      <c r="F225" s="4"/>
      <c r="G225" s="16" t="s">
        <v>719</v>
      </c>
      <c r="H225" s="17">
        <v>9.1952662721893468</v>
      </c>
      <c r="I225" s="4" t="s">
        <v>356</v>
      </c>
      <c r="J225" s="4" t="s">
        <v>138</v>
      </c>
      <c r="K225" s="4"/>
      <c r="L225" s="4"/>
      <c r="M225" s="18" t="str">
        <f>HYPERLINK("http://slimages.macys.com/is/image/MCY/18891534 ")</f>
        <v xml:space="preserve">http://slimages.macys.com/is/image/MCY/18891534 </v>
      </c>
      <c r="N225" s="19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6" t="s">
        <v>720</v>
      </c>
      <c r="B226" s="4" t="s">
        <v>721</v>
      </c>
      <c r="C226" s="3">
        <v>1</v>
      </c>
      <c r="D226" s="17">
        <v>20.99</v>
      </c>
      <c r="E226" s="3" t="s">
        <v>722</v>
      </c>
      <c r="F226" s="4" t="s">
        <v>38</v>
      </c>
      <c r="G226" s="16" t="s">
        <v>149</v>
      </c>
      <c r="H226" s="17">
        <v>9.1952662721893468</v>
      </c>
      <c r="I226" s="4" t="s">
        <v>356</v>
      </c>
      <c r="J226" s="4" t="s">
        <v>723</v>
      </c>
      <c r="K226" s="4" t="s">
        <v>33</v>
      </c>
      <c r="L226" s="4" t="s">
        <v>724</v>
      </c>
      <c r="M226" s="18" t="str">
        <f>HYPERLINK("http://slimages.macys.com/is/image/MCY/11311376 ")</f>
        <v xml:space="preserve">http://slimages.macys.com/is/image/MCY/11311376 </v>
      </c>
      <c r="N226" s="19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6" t="s">
        <v>725</v>
      </c>
      <c r="B227" s="4" t="s">
        <v>726</v>
      </c>
      <c r="C227" s="3">
        <v>3</v>
      </c>
      <c r="D227" s="17">
        <v>24.99</v>
      </c>
      <c r="E227" s="3" t="s">
        <v>727</v>
      </c>
      <c r="F227" s="4" t="s">
        <v>294</v>
      </c>
      <c r="G227" s="16"/>
      <c r="H227" s="17">
        <v>9.031952662721892</v>
      </c>
      <c r="I227" s="4" t="s">
        <v>44</v>
      </c>
      <c r="J227" s="4" t="s">
        <v>588</v>
      </c>
      <c r="K227" s="4" t="s">
        <v>33</v>
      </c>
      <c r="L227" s="4" t="s">
        <v>128</v>
      </c>
      <c r="M227" s="18" t="str">
        <f>HYPERLINK("http://slimages.macys.com/is/image/MCY/11685195 ")</f>
        <v xml:space="preserve">http://slimages.macys.com/is/image/MCY/11685195 </v>
      </c>
      <c r="N227" s="19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6" t="s">
        <v>728</v>
      </c>
      <c r="B228" s="4" t="s">
        <v>729</v>
      </c>
      <c r="C228" s="3">
        <v>2</v>
      </c>
      <c r="D228" s="17">
        <v>24.99</v>
      </c>
      <c r="E228" s="3" t="s">
        <v>730</v>
      </c>
      <c r="F228" s="4" t="s">
        <v>176</v>
      </c>
      <c r="G228" s="16" t="s">
        <v>731</v>
      </c>
      <c r="H228" s="17">
        <v>8.9940828402366861</v>
      </c>
      <c r="I228" s="4" t="s">
        <v>44</v>
      </c>
      <c r="J228" s="4" t="s">
        <v>592</v>
      </c>
      <c r="K228" s="4"/>
      <c r="L228" s="4"/>
      <c r="M228" s="18" t="str">
        <f t="shared" ref="M228:M230" si="22">HYPERLINK("http://slimages.macys.com/is/image/MCY/18772416 ")</f>
        <v xml:space="preserve">http://slimages.macys.com/is/image/MCY/18772416 </v>
      </c>
      <c r="N228" s="19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6" t="s">
        <v>732</v>
      </c>
      <c r="B229" s="4" t="s">
        <v>733</v>
      </c>
      <c r="C229" s="3">
        <v>1</v>
      </c>
      <c r="D229" s="17">
        <v>24.99</v>
      </c>
      <c r="E229" s="3" t="s">
        <v>734</v>
      </c>
      <c r="F229" s="4" t="s">
        <v>235</v>
      </c>
      <c r="G229" s="16" t="s">
        <v>731</v>
      </c>
      <c r="H229" s="17">
        <v>8.9940828402366861</v>
      </c>
      <c r="I229" s="4" t="s">
        <v>44</v>
      </c>
      <c r="J229" s="4" t="s">
        <v>592</v>
      </c>
      <c r="K229" s="4"/>
      <c r="L229" s="4"/>
      <c r="M229" s="18" t="str">
        <f t="shared" si="22"/>
        <v xml:space="preserve">http://slimages.macys.com/is/image/MCY/18772416 </v>
      </c>
      <c r="N229" s="19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6" t="s">
        <v>728</v>
      </c>
      <c r="B230" s="4" t="s">
        <v>729</v>
      </c>
      <c r="C230" s="3">
        <v>3</v>
      </c>
      <c r="D230" s="17">
        <v>24.99</v>
      </c>
      <c r="E230" s="3" t="s">
        <v>730</v>
      </c>
      <c r="F230" s="4" t="s">
        <v>176</v>
      </c>
      <c r="G230" s="16" t="s">
        <v>731</v>
      </c>
      <c r="H230" s="17">
        <v>8.9940828402366861</v>
      </c>
      <c r="I230" s="4" t="s">
        <v>44</v>
      </c>
      <c r="J230" s="4" t="s">
        <v>592</v>
      </c>
      <c r="K230" s="4"/>
      <c r="L230" s="4"/>
      <c r="M230" s="18" t="str">
        <f t="shared" si="22"/>
        <v xml:space="preserve">http://slimages.macys.com/is/image/MCY/18772416 </v>
      </c>
      <c r="N230" s="19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6" t="s">
        <v>735</v>
      </c>
      <c r="B231" s="4" t="s">
        <v>736</v>
      </c>
      <c r="C231" s="3">
        <v>8</v>
      </c>
      <c r="D231" s="17">
        <v>24.99</v>
      </c>
      <c r="E231" s="3" t="s">
        <v>737</v>
      </c>
      <c r="F231" s="4" t="s">
        <v>521</v>
      </c>
      <c r="G231" s="16" t="s">
        <v>731</v>
      </c>
      <c r="H231" s="17">
        <v>8.9940828402366861</v>
      </c>
      <c r="I231" s="4" t="s">
        <v>44</v>
      </c>
      <c r="J231" s="4" t="s">
        <v>592</v>
      </c>
      <c r="K231" s="4"/>
      <c r="L231" s="4"/>
      <c r="M231" s="18" t="str">
        <f t="shared" ref="M231:M232" si="23">HYPERLINK("http://slimages.macys.com/is/image/MCY/18772411 ")</f>
        <v xml:space="preserve">http://slimages.macys.com/is/image/MCY/18772411 </v>
      </c>
      <c r="N231" s="19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6" t="s">
        <v>735</v>
      </c>
      <c r="B232" s="4" t="s">
        <v>736</v>
      </c>
      <c r="C232" s="3">
        <v>1</v>
      </c>
      <c r="D232" s="17">
        <v>24.99</v>
      </c>
      <c r="E232" s="3" t="s">
        <v>737</v>
      </c>
      <c r="F232" s="4" t="s">
        <v>521</v>
      </c>
      <c r="G232" s="16" t="s">
        <v>731</v>
      </c>
      <c r="H232" s="17">
        <v>8.9940828402366861</v>
      </c>
      <c r="I232" s="4" t="s">
        <v>44</v>
      </c>
      <c r="J232" s="4" t="s">
        <v>592</v>
      </c>
      <c r="K232" s="4"/>
      <c r="L232" s="4"/>
      <c r="M232" s="18" t="str">
        <f t="shared" si="23"/>
        <v xml:space="preserve">http://slimages.macys.com/is/image/MCY/18772411 </v>
      </c>
      <c r="N232" s="19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6" t="s">
        <v>738</v>
      </c>
      <c r="B233" s="4" t="s">
        <v>739</v>
      </c>
      <c r="C233" s="3">
        <v>1</v>
      </c>
      <c r="D233" s="17">
        <v>24.99</v>
      </c>
      <c r="E233" s="3" t="s">
        <v>740</v>
      </c>
      <c r="F233" s="4" t="s">
        <v>49</v>
      </c>
      <c r="G233" s="16"/>
      <c r="H233" s="17">
        <v>8.9940828402366861</v>
      </c>
      <c r="I233" s="4" t="s">
        <v>44</v>
      </c>
      <c r="J233" s="4" t="s">
        <v>592</v>
      </c>
      <c r="K233" s="4"/>
      <c r="L233" s="4"/>
      <c r="M233" s="18" t="str">
        <f t="shared" ref="M233:M234" si="24">HYPERLINK("http://slimages.macys.com/is/image/MCY/18772607 ")</f>
        <v xml:space="preserve">http://slimages.macys.com/is/image/MCY/18772607 </v>
      </c>
      <c r="N233" s="19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6" t="s">
        <v>738</v>
      </c>
      <c r="B234" s="4" t="s">
        <v>739</v>
      </c>
      <c r="C234" s="3">
        <v>2</v>
      </c>
      <c r="D234" s="17">
        <v>24.99</v>
      </c>
      <c r="E234" s="3" t="s">
        <v>740</v>
      </c>
      <c r="F234" s="4" t="s">
        <v>49</v>
      </c>
      <c r="G234" s="16"/>
      <c r="H234" s="17">
        <v>8.9940828402366861</v>
      </c>
      <c r="I234" s="4" t="s">
        <v>44</v>
      </c>
      <c r="J234" s="4" t="s">
        <v>592</v>
      </c>
      <c r="K234" s="4"/>
      <c r="L234" s="4"/>
      <c r="M234" s="18" t="str">
        <f t="shared" si="24"/>
        <v xml:space="preserve">http://slimages.macys.com/is/image/MCY/18772607 </v>
      </c>
      <c r="N234" s="19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6" t="s">
        <v>741</v>
      </c>
      <c r="B235" s="4" t="s">
        <v>742</v>
      </c>
      <c r="C235" s="3">
        <v>1</v>
      </c>
      <c r="D235" s="17">
        <v>24.99</v>
      </c>
      <c r="E235" s="3" t="s">
        <v>743</v>
      </c>
      <c r="F235" s="4" t="s">
        <v>30</v>
      </c>
      <c r="G235" s="16"/>
      <c r="H235" s="17">
        <v>8.9940828402366861</v>
      </c>
      <c r="I235" s="4" t="s">
        <v>44</v>
      </c>
      <c r="J235" s="4" t="s">
        <v>45</v>
      </c>
      <c r="K235" s="4"/>
      <c r="L235" s="4"/>
      <c r="M235" s="18" t="str">
        <f>HYPERLINK("http://slimages.macys.com/is/image/MCY/18869451 ")</f>
        <v xml:space="preserve">http://slimages.macys.com/is/image/MCY/18869451 </v>
      </c>
      <c r="N235" s="19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6" t="s">
        <v>744</v>
      </c>
      <c r="B236" s="4" t="s">
        <v>745</v>
      </c>
      <c r="C236" s="3">
        <v>3</v>
      </c>
      <c r="D236" s="17">
        <v>24.99</v>
      </c>
      <c r="E236" s="3" t="s">
        <v>746</v>
      </c>
      <c r="F236" s="4" t="s">
        <v>72</v>
      </c>
      <c r="G236" s="16"/>
      <c r="H236" s="17">
        <v>8.9940828402366861</v>
      </c>
      <c r="I236" s="4" t="s">
        <v>44</v>
      </c>
      <c r="J236" s="4" t="s">
        <v>45</v>
      </c>
      <c r="K236" s="4"/>
      <c r="L236" s="4"/>
      <c r="M236" s="18" t="str">
        <f>HYPERLINK("http://slimages.macys.com/is/image/MCY/18869450 ")</f>
        <v xml:space="preserve">http://slimages.macys.com/is/image/MCY/18869450 </v>
      </c>
      <c r="N236" s="19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6" t="s">
        <v>747</v>
      </c>
      <c r="B237" s="4" t="s">
        <v>748</v>
      </c>
      <c r="C237" s="3">
        <v>1</v>
      </c>
      <c r="D237" s="17">
        <v>24.99</v>
      </c>
      <c r="E237" s="3" t="s">
        <v>749</v>
      </c>
      <c r="F237" s="4" t="s">
        <v>49</v>
      </c>
      <c r="G237" s="16" t="s">
        <v>731</v>
      </c>
      <c r="H237" s="17">
        <v>8.9940828402366861</v>
      </c>
      <c r="I237" s="4" t="s">
        <v>44</v>
      </c>
      <c r="J237" s="4" t="s">
        <v>592</v>
      </c>
      <c r="K237" s="4"/>
      <c r="L237" s="4"/>
      <c r="M237" s="18" t="str">
        <f t="shared" ref="M237:M238" si="25">HYPERLINK("http://slimages.macys.com/is/image/MCY/18772416 ")</f>
        <v xml:space="preserve">http://slimages.macys.com/is/image/MCY/18772416 </v>
      </c>
      <c r="N237" s="19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6" t="s">
        <v>732</v>
      </c>
      <c r="B238" s="4" t="s">
        <v>733</v>
      </c>
      <c r="C238" s="3">
        <v>3</v>
      </c>
      <c r="D238" s="17">
        <v>24.99</v>
      </c>
      <c r="E238" s="3" t="s">
        <v>734</v>
      </c>
      <c r="F238" s="4" t="s">
        <v>235</v>
      </c>
      <c r="G238" s="16" t="s">
        <v>731</v>
      </c>
      <c r="H238" s="17">
        <v>8.9940828402366861</v>
      </c>
      <c r="I238" s="4" t="s">
        <v>44</v>
      </c>
      <c r="J238" s="4" t="s">
        <v>592</v>
      </c>
      <c r="K238" s="4"/>
      <c r="L238" s="4"/>
      <c r="M238" s="18" t="str">
        <f t="shared" si="25"/>
        <v xml:space="preserve">http://slimages.macys.com/is/image/MCY/18772416 </v>
      </c>
      <c r="N238" s="19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6" t="s">
        <v>738</v>
      </c>
      <c r="B239" s="4" t="s">
        <v>739</v>
      </c>
      <c r="C239" s="3">
        <v>12</v>
      </c>
      <c r="D239" s="17">
        <v>24.99</v>
      </c>
      <c r="E239" s="3" t="s">
        <v>740</v>
      </c>
      <c r="F239" s="4" t="s">
        <v>49</v>
      </c>
      <c r="G239" s="16"/>
      <c r="H239" s="17">
        <v>8.9940828402366861</v>
      </c>
      <c r="I239" s="4" t="s">
        <v>44</v>
      </c>
      <c r="J239" s="4" t="s">
        <v>592</v>
      </c>
      <c r="K239" s="4"/>
      <c r="L239" s="4"/>
      <c r="M239" s="18" t="str">
        <f>HYPERLINK("http://slimages.macys.com/is/image/MCY/18772607 ")</f>
        <v xml:space="preserve">http://slimages.macys.com/is/image/MCY/18772607 </v>
      </c>
      <c r="N239" s="19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6" t="s">
        <v>728</v>
      </c>
      <c r="B240" s="4" t="s">
        <v>729</v>
      </c>
      <c r="C240" s="3">
        <v>4</v>
      </c>
      <c r="D240" s="17">
        <v>24.99</v>
      </c>
      <c r="E240" s="3" t="s">
        <v>730</v>
      </c>
      <c r="F240" s="4" t="s">
        <v>176</v>
      </c>
      <c r="G240" s="16" t="s">
        <v>731</v>
      </c>
      <c r="H240" s="17">
        <v>8.9940828402366861</v>
      </c>
      <c r="I240" s="4" t="s">
        <v>44</v>
      </c>
      <c r="J240" s="4" t="s">
        <v>592</v>
      </c>
      <c r="K240" s="4"/>
      <c r="L240" s="4"/>
      <c r="M240" s="18" t="str">
        <f t="shared" ref="M240:M241" si="26">HYPERLINK("http://slimages.macys.com/is/image/MCY/18772416 ")</f>
        <v xml:space="preserve">http://slimages.macys.com/is/image/MCY/18772416 </v>
      </c>
      <c r="N240" s="19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6" t="s">
        <v>747</v>
      </c>
      <c r="B241" s="4" t="s">
        <v>748</v>
      </c>
      <c r="C241" s="3">
        <v>3</v>
      </c>
      <c r="D241" s="17">
        <v>24.99</v>
      </c>
      <c r="E241" s="3" t="s">
        <v>749</v>
      </c>
      <c r="F241" s="4" t="s">
        <v>49</v>
      </c>
      <c r="G241" s="16" t="s">
        <v>731</v>
      </c>
      <c r="H241" s="17">
        <v>8.9940828402366861</v>
      </c>
      <c r="I241" s="4" t="s">
        <v>44</v>
      </c>
      <c r="J241" s="4" t="s">
        <v>592</v>
      </c>
      <c r="K241" s="4"/>
      <c r="L241" s="4"/>
      <c r="M241" s="18" t="str">
        <f t="shared" si="26"/>
        <v xml:space="preserve">http://slimages.macys.com/is/image/MCY/18772416 </v>
      </c>
      <c r="N241" s="19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6" t="s">
        <v>735</v>
      </c>
      <c r="B242" s="4" t="s">
        <v>736</v>
      </c>
      <c r="C242" s="3">
        <v>4</v>
      </c>
      <c r="D242" s="17">
        <v>24.99</v>
      </c>
      <c r="E242" s="3" t="s">
        <v>737</v>
      </c>
      <c r="F242" s="4" t="s">
        <v>521</v>
      </c>
      <c r="G242" s="16" t="s">
        <v>731</v>
      </c>
      <c r="H242" s="17">
        <v>8.9940828402366861</v>
      </c>
      <c r="I242" s="4" t="s">
        <v>44</v>
      </c>
      <c r="J242" s="4" t="s">
        <v>592</v>
      </c>
      <c r="K242" s="4"/>
      <c r="L242" s="4"/>
      <c r="M242" s="18" t="str">
        <f>HYPERLINK("http://slimages.macys.com/is/image/MCY/18772411 ")</f>
        <v xml:space="preserve">http://slimages.macys.com/is/image/MCY/18772411 </v>
      </c>
      <c r="N242" s="19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6" t="s">
        <v>738</v>
      </c>
      <c r="B243" s="4" t="s">
        <v>739</v>
      </c>
      <c r="C243" s="3">
        <v>3</v>
      </c>
      <c r="D243" s="17">
        <v>24.99</v>
      </c>
      <c r="E243" s="3" t="s">
        <v>740</v>
      </c>
      <c r="F243" s="4" t="s">
        <v>49</v>
      </c>
      <c r="G243" s="16"/>
      <c r="H243" s="17">
        <v>8.9940828402366861</v>
      </c>
      <c r="I243" s="4" t="s">
        <v>44</v>
      </c>
      <c r="J243" s="4" t="s">
        <v>592</v>
      </c>
      <c r="K243" s="4"/>
      <c r="L243" s="4"/>
      <c r="M243" s="18" t="str">
        <f>HYPERLINK("http://slimages.macys.com/is/image/MCY/18772607 ")</f>
        <v xml:space="preserve">http://slimages.macys.com/is/image/MCY/18772607 </v>
      </c>
      <c r="N243" s="19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6" t="s">
        <v>750</v>
      </c>
      <c r="B244" s="4" t="s">
        <v>751</v>
      </c>
      <c r="C244" s="3">
        <v>2</v>
      </c>
      <c r="D244" s="17">
        <v>19.989999999999998</v>
      </c>
      <c r="E244" s="3" t="s">
        <v>752</v>
      </c>
      <c r="F244" s="4" t="s">
        <v>753</v>
      </c>
      <c r="G244" s="16" t="s">
        <v>644</v>
      </c>
      <c r="H244" s="17">
        <v>8.8047337278106514</v>
      </c>
      <c r="I244" s="4" t="s">
        <v>44</v>
      </c>
      <c r="J244" s="4" t="s">
        <v>543</v>
      </c>
      <c r="K244" s="4"/>
      <c r="L244" s="4"/>
      <c r="M244" s="18" t="str">
        <f>HYPERLINK("http://slimages.macys.com/is/image/MCY/18530166 ")</f>
        <v xml:space="preserve">http://slimages.macys.com/is/image/MCY/18530166 </v>
      </c>
      <c r="N244" s="19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6" t="s">
        <v>754</v>
      </c>
      <c r="B245" s="4" t="s">
        <v>755</v>
      </c>
      <c r="C245" s="3">
        <v>1</v>
      </c>
      <c r="D245" s="17">
        <v>29.99</v>
      </c>
      <c r="E245" s="3">
        <v>10012671800</v>
      </c>
      <c r="F245" s="4" t="s">
        <v>38</v>
      </c>
      <c r="G245" s="16"/>
      <c r="H245" s="17">
        <v>8.7893491124260343</v>
      </c>
      <c r="I245" s="4" t="s">
        <v>517</v>
      </c>
      <c r="J245" s="4" t="s">
        <v>756</v>
      </c>
      <c r="K245" s="4"/>
      <c r="L245" s="4"/>
      <c r="M245" s="18" t="str">
        <f t="shared" ref="M245:M248" si="27">HYPERLINK("http://slimages.macys.com/is/image/MCY/19790111 ")</f>
        <v xml:space="preserve">http://slimages.macys.com/is/image/MCY/19790111 </v>
      </c>
      <c r="N245" s="19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6" t="s">
        <v>757</v>
      </c>
      <c r="B246" s="4" t="s">
        <v>758</v>
      </c>
      <c r="C246" s="3">
        <v>1</v>
      </c>
      <c r="D246" s="17">
        <v>29.99</v>
      </c>
      <c r="E246" s="3">
        <v>10012671800</v>
      </c>
      <c r="F246" s="4" t="s">
        <v>30</v>
      </c>
      <c r="G246" s="16"/>
      <c r="H246" s="17">
        <v>8.7893491124260343</v>
      </c>
      <c r="I246" s="4" t="s">
        <v>517</v>
      </c>
      <c r="J246" s="4" t="s">
        <v>756</v>
      </c>
      <c r="K246" s="4"/>
      <c r="L246" s="4"/>
      <c r="M246" s="18" t="str">
        <f t="shared" si="27"/>
        <v xml:space="preserve">http://slimages.macys.com/is/image/MCY/19790111 </v>
      </c>
      <c r="N246" s="19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6" t="s">
        <v>757</v>
      </c>
      <c r="B247" s="4" t="s">
        <v>758</v>
      </c>
      <c r="C247" s="3">
        <v>1</v>
      </c>
      <c r="D247" s="17">
        <v>29.99</v>
      </c>
      <c r="E247" s="3">
        <v>10012671800</v>
      </c>
      <c r="F247" s="4" t="s">
        <v>30</v>
      </c>
      <c r="G247" s="16"/>
      <c r="H247" s="17">
        <v>8.7893491124260343</v>
      </c>
      <c r="I247" s="4" t="s">
        <v>517</v>
      </c>
      <c r="J247" s="4" t="s">
        <v>756</v>
      </c>
      <c r="K247" s="4"/>
      <c r="L247" s="4"/>
      <c r="M247" s="18" t="str">
        <f t="shared" si="27"/>
        <v xml:space="preserve">http://slimages.macys.com/is/image/MCY/19790111 </v>
      </c>
      <c r="N247" s="19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6" t="s">
        <v>759</v>
      </c>
      <c r="B248" s="4" t="s">
        <v>760</v>
      </c>
      <c r="C248" s="3">
        <v>1</v>
      </c>
      <c r="D248" s="17">
        <v>29.99</v>
      </c>
      <c r="E248" s="3">
        <v>10012671800</v>
      </c>
      <c r="F248" s="4" t="s">
        <v>761</v>
      </c>
      <c r="G248" s="16"/>
      <c r="H248" s="17">
        <v>8.7893491124260343</v>
      </c>
      <c r="I248" s="4" t="s">
        <v>517</v>
      </c>
      <c r="J248" s="4" t="s">
        <v>756</v>
      </c>
      <c r="K248" s="4"/>
      <c r="L248" s="4"/>
      <c r="M248" s="18" t="str">
        <f t="shared" si="27"/>
        <v xml:space="preserve">http://slimages.macys.com/is/image/MCY/19790111 </v>
      </c>
      <c r="N248" s="19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6" t="s">
        <v>762</v>
      </c>
      <c r="B249" s="4" t="s">
        <v>763</v>
      </c>
      <c r="C249" s="3">
        <v>5</v>
      </c>
      <c r="D249" s="17">
        <v>19.989999999999998</v>
      </c>
      <c r="E249" s="3" t="s">
        <v>764</v>
      </c>
      <c r="F249" s="4" t="s">
        <v>216</v>
      </c>
      <c r="G249" s="16"/>
      <c r="H249" s="17">
        <v>8.7479289940828409</v>
      </c>
      <c r="I249" s="4" t="s">
        <v>253</v>
      </c>
      <c r="J249" s="4" t="s">
        <v>651</v>
      </c>
      <c r="K249" s="4"/>
      <c r="L249" s="4"/>
      <c r="M249" s="18" t="str">
        <f t="shared" ref="M249:M250" si="28">HYPERLINK("http://slimages.macys.com/is/image/MCY/19728451 ")</f>
        <v xml:space="preserve">http://slimages.macys.com/is/image/MCY/19728451 </v>
      </c>
      <c r="N249" s="19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6" t="s">
        <v>765</v>
      </c>
      <c r="B250" s="4" t="s">
        <v>766</v>
      </c>
      <c r="C250" s="3">
        <v>2</v>
      </c>
      <c r="D250" s="17">
        <v>19.989999999999998</v>
      </c>
      <c r="E250" s="3" t="s">
        <v>764</v>
      </c>
      <c r="F250" s="4" t="s">
        <v>38</v>
      </c>
      <c r="G250" s="16"/>
      <c r="H250" s="17">
        <v>8.7479289940828409</v>
      </c>
      <c r="I250" s="4" t="s">
        <v>253</v>
      </c>
      <c r="J250" s="4" t="s">
        <v>651</v>
      </c>
      <c r="K250" s="4"/>
      <c r="L250" s="4"/>
      <c r="M250" s="18" t="str">
        <f t="shared" si="28"/>
        <v xml:space="preserve">http://slimages.macys.com/is/image/MCY/19728451 </v>
      </c>
      <c r="N250" s="19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6" t="s">
        <v>767</v>
      </c>
      <c r="B251" s="4" t="s">
        <v>768</v>
      </c>
      <c r="C251" s="3">
        <v>1</v>
      </c>
      <c r="D251" s="17">
        <v>19.989999999999998</v>
      </c>
      <c r="E251" s="3" t="s">
        <v>769</v>
      </c>
      <c r="F251" s="4" t="s">
        <v>212</v>
      </c>
      <c r="G251" s="16"/>
      <c r="H251" s="17">
        <v>8.7479289940828409</v>
      </c>
      <c r="I251" s="4" t="s">
        <v>253</v>
      </c>
      <c r="J251" s="4" t="s">
        <v>651</v>
      </c>
      <c r="K251" s="4"/>
      <c r="L251" s="4"/>
      <c r="M251" s="18" t="str">
        <f t="shared" ref="M251:M252" si="29">HYPERLINK("http://slimages.macys.com/is/image/MCY/19728831 ")</f>
        <v xml:space="preserve">http://slimages.macys.com/is/image/MCY/19728831 </v>
      </c>
      <c r="N251" s="19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6" t="s">
        <v>770</v>
      </c>
      <c r="B252" s="4" t="s">
        <v>771</v>
      </c>
      <c r="C252" s="3">
        <v>4</v>
      </c>
      <c r="D252" s="17">
        <v>19.989999999999998</v>
      </c>
      <c r="E252" s="3" t="s">
        <v>769</v>
      </c>
      <c r="F252" s="4" t="s">
        <v>38</v>
      </c>
      <c r="G252" s="16"/>
      <c r="H252" s="17">
        <v>8.7479289940828409</v>
      </c>
      <c r="I252" s="4" t="s">
        <v>253</v>
      </c>
      <c r="J252" s="4" t="s">
        <v>651</v>
      </c>
      <c r="K252" s="4"/>
      <c r="L252" s="4"/>
      <c r="M252" s="18" t="str">
        <f t="shared" si="29"/>
        <v xml:space="preserve">http://slimages.macys.com/is/image/MCY/19728831 </v>
      </c>
      <c r="N252" s="19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6" t="s">
        <v>765</v>
      </c>
      <c r="B253" s="4" t="s">
        <v>766</v>
      </c>
      <c r="C253" s="3">
        <v>4</v>
      </c>
      <c r="D253" s="17">
        <v>19.989999999999998</v>
      </c>
      <c r="E253" s="3" t="s">
        <v>764</v>
      </c>
      <c r="F253" s="4" t="s">
        <v>38</v>
      </c>
      <c r="G253" s="16"/>
      <c r="H253" s="17">
        <v>8.7479289940828409</v>
      </c>
      <c r="I253" s="4" t="s">
        <v>253</v>
      </c>
      <c r="J253" s="4" t="s">
        <v>651</v>
      </c>
      <c r="K253" s="4"/>
      <c r="L253" s="4"/>
      <c r="M253" s="18" t="str">
        <f>HYPERLINK("http://slimages.macys.com/is/image/MCY/19728451 ")</f>
        <v xml:space="preserve">http://slimages.macys.com/is/image/MCY/19728451 </v>
      </c>
      <c r="N253" s="19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6" t="s">
        <v>772</v>
      </c>
      <c r="B254" s="4" t="s">
        <v>773</v>
      </c>
      <c r="C254" s="3">
        <v>1</v>
      </c>
      <c r="D254" s="17">
        <v>19.989999999999998</v>
      </c>
      <c r="E254" s="3" t="s">
        <v>774</v>
      </c>
      <c r="F254" s="4" t="s">
        <v>775</v>
      </c>
      <c r="G254" s="16"/>
      <c r="H254" s="17">
        <v>8.7479289940828409</v>
      </c>
      <c r="I254" s="4" t="s">
        <v>253</v>
      </c>
      <c r="J254" s="4" t="s">
        <v>651</v>
      </c>
      <c r="K254" s="4"/>
      <c r="L254" s="4"/>
      <c r="M254" s="18" t="str">
        <f>HYPERLINK("http://slimages.macys.com/is/image/MCY/19728399 ")</f>
        <v xml:space="preserve">http://slimages.macys.com/is/image/MCY/19728399 </v>
      </c>
      <c r="N254" s="19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6" t="s">
        <v>776</v>
      </c>
      <c r="B255" s="4" t="s">
        <v>777</v>
      </c>
      <c r="C255" s="3">
        <v>1</v>
      </c>
      <c r="D255" s="17">
        <v>19.989999999999998</v>
      </c>
      <c r="E255" s="3" t="s">
        <v>778</v>
      </c>
      <c r="F255" s="4" t="s">
        <v>30</v>
      </c>
      <c r="G255" s="16"/>
      <c r="H255" s="17">
        <v>8.7479289940828409</v>
      </c>
      <c r="I255" s="4" t="s">
        <v>253</v>
      </c>
      <c r="J255" s="4" t="s">
        <v>651</v>
      </c>
      <c r="K255" s="4"/>
      <c r="L255" s="4"/>
      <c r="M255" s="18" t="str">
        <f t="shared" ref="M255:M256" si="30">HYPERLINK("http://slimages.macys.com/is/image/MCY/19728390 ")</f>
        <v xml:space="preserve">http://slimages.macys.com/is/image/MCY/19728390 </v>
      </c>
      <c r="N255" s="19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6" t="s">
        <v>776</v>
      </c>
      <c r="B256" s="4" t="s">
        <v>777</v>
      </c>
      <c r="C256" s="3">
        <v>1</v>
      </c>
      <c r="D256" s="17">
        <v>19.989999999999998</v>
      </c>
      <c r="E256" s="3" t="s">
        <v>778</v>
      </c>
      <c r="F256" s="4" t="s">
        <v>30</v>
      </c>
      <c r="G256" s="16"/>
      <c r="H256" s="17">
        <v>8.7479289940828409</v>
      </c>
      <c r="I256" s="4" t="s">
        <v>253</v>
      </c>
      <c r="J256" s="4" t="s">
        <v>651</v>
      </c>
      <c r="K256" s="4"/>
      <c r="L256" s="4"/>
      <c r="M256" s="18" t="str">
        <f t="shared" si="30"/>
        <v xml:space="preserve">http://slimages.macys.com/is/image/MCY/19728390 </v>
      </c>
      <c r="N256" s="19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6" t="s">
        <v>779</v>
      </c>
      <c r="B257" s="4" t="s">
        <v>780</v>
      </c>
      <c r="C257" s="3">
        <v>1</v>
      </c>
      <c r="D257" s="17">
        <v>19.989999999999998</v>
      </c>
      <c r="E257" s="3" t="s">
        <v>781</v>
      </c>
      <c r="F257" s="4" t="s">
        <v>176</v>
      </c>
      <c r="G257" s="16"/>
      <c r="H257" s="17">
        <v>8.6627218934911241</v>
      </c>
      <c r="I257" s="4" t="s">
        <v>44</v>
      </c>
      <c r="J257" s="4" t="s">
        <v>45</v>
      </c>
      <c r="K257" s="4"/>
      <c r="L257" s="4"/>
      <c r="M257" s="18" t="str">
        <f>HYPERLINK("http://slimages.macys.com/is/image/MCY/19413715 ")</f>
        <v xml:space="preserve">http://slimages.macys.com/is/image/MCY/19413715 </v>
      </c>
      <c r="N257" s="19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6" t="s">
        <v>782</v>
      </c>
      <c r="B258" s="4" t="s">
        <v>783</v>
      </c>
      <c r="C258" s="3">
        <v>5</v>
      </c>
      <c r="D258" s="17">
        <v>15.99</v>
      </c>
      <c r="E258" s="3" t="s">
        <v>784</v>
      </c>
      <c r="F258" s="4" t="s">
        <v>235</v>
      </c>
      <c r="G258" s="16"/>
      <c r="H258" s="17">
        <v>8.4497041420118322</v>
      </c>
      <c r="I258" s="4" t="s">
        <v>356</v>
      </c>
      <c r="J258" s="4" t="s">
        <v>208</v>
      </c>
      <c r="K258" s="4"/>
      <c r="L258" s="4"/>
      <c r="M258" s="18" t="str">
        <f>HYPERLINK("http://slimages.macys.com/is/image/MCY/19038946 ")</f>
        <v xml:space="preserve">http://slimages.macys.com/is/image/MCY/19038946 </v>
      </c>
      <c r="N258" s="19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6" t="s">
        <v>785</v>
      </c>
      <c r="B259" s="4" t="s">
        <v>786</v>
      </c>
      <c r="C259" s="3">
        <v>4</v>
      </c>
      <c r="D259" s="17">
        <v>29.99</v>
      </c>
      <c r="E259" s="3" t="s">
        <v>787</v>
      </c>
      <c r="F259" s="4" t="s">
        <v>49</v>
      </c>
      <c r="G259" s="16"/>
      <c r="H259" s="17">
        <v>8.3668639053254434</v>
      </c>
      <c r="I259" s="4" t="s">
        <v>55</v>
      </c>
      <c r="J259" s="4" t="s">
        <v>685</v>
      </c>
      <c r="K259" s="4"/>
      <c r="L259" s="4"/>
      <c r="M259" s="18" t="str">
        <f>HYPERLINK("http://slimages.macys.com/is/image/MCY/18543425 ")</f>
        <v xml:space="preserve">http://slimages.macys.com/is/image/MCY/18543425 </v>
      </c>
      <c r="N259" s="19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6" t="s">
        <v>788</v>
      </c>
      <c r="B260" s="4" t="s">
        <v>789</v>
      </c>
      <c r="C260" s="3">
        <v>1</v>
      </c>
      <c r="D260" s="17">
        <v>39.99</v>
      </c>
      <c r="E260" s="3" t="s">
        <v>790</v>
      </c>
      <c r="F260" s="4" t="s">
        <v>162</v>
      </c>
      <c r="G260" s="16"/>
      <c r="H260" s="17">
        <v>8.350295857988165</v>
      </c>
      <c r="I260" s="4" t="s">
        <v>163</v>
      </c>
      <c r="J260" s="4" t="s">
        <v>164</v>
      </c>
      <c r="K260" s="4"/>
      <c r="L260" s="4"/>
      <c r="M260" s="18" t="str">
        <f t="shared" ref="M260:M261" si="31">HYPERLINK("http://slimages.macys.com/is/image/MCY/18159735 ")</f>
        <v xml:space="preserve">http://slimages.macys.com/is/image/MCY/18159735 </v>
      </c>
      <c r="N260" s="19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6" t="s">
        <v>788</v>
      </c>
      <c r="B261" s="4" t="s">
        <v>789</v>
      </c>
      <c r="C261" s="3">
        <v>3</v>
      </c>
      <c r="D261" s="17">
        <v>39.99</v>
      </c>
      <c r="E261" s="3" t="s">
        <v>790</v>
      </c>
      <c r="F261" s="4" t="s">
        <v>162</v>
      </c>
      <c r="G261" s="16"/>
      <c r="H261" s="17">
        <v>8.350295857988165</v>
      </c>
      <c r="I261" s="4" t="s">
        <v>163</v>
      </c>
      <c r="J261" s="4" t="s">
        <v>164</v>
      </c>
      <c r="K261" s="4"/>
      <c r="L261" s="4"/>
      <c r="M261" s="18" t="str">
        <f t="shared" si="31"/>
        <v xml:space="preserve">http://slimages.macys.com/is/image/MCY/18159735 </v>
      </c>
      <c r="N261" s="19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6" t="s">
        <v>791</v>
      </c>
      <c r="B262" s="4" t="s">
        <v>792</v>
      </c>
      <c r="C262" s="3">
        <v>1</v>
      </c>
      <c r="D262" s="17">
        <v>39.99</v>
      </c>
      <c r="E262" s="3" t="s">
        <v>793</v>
      </c>
      <c r="F262" s="4" t="s">
        <v>753</v>
      </c>
      <c r="G262" s="16"/>
      <c r="H262" s="17">
        <v>8.1928994082840223</v>
      </c>
      <c r="I262" s="4" t="s">
        <v>31</v>
      </c>
      <c r="J262" s="4" t="s">
        <v>794</v>
      </c>
      <c r="K262" s="4" t="s">
        <v>33</v>
      </c>
      <c r="L262" s="4" t="s">
        <v>320</v>
      </c>
      <c r="M262" s="18" t="str">
        <f>HYPERLINK("http://slimages.macys.com/is/image/MCY/12061170 ")</f>
        <v xml:space="preserve">http://slimages.macys.com/is/image/MCY/12061170 </v>
      </c>
      <c r="N262" s="19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6" t="s">
        <v>795</v>
      </c>
      <c r="B263" s="4" t="s">
        <v>796</v>
      </c>
      <c r="C263" s="3">
        <v>1</v>
      </c>
      <c r="D263" s="17">
        <v>17.989999999999998</v>
      </c>
      <c r="E263" s="3" t="s">
        <v>797</v>
      </c>
      <c r="F263" s="4"/>
      <c r="G263" s="16"/>
      <c r="H263" s="17">
        <v>8.0520710059171599</v>
      </c>
      <c r="I263" s="4" t="s">
        <v>356</v>
      </c>
      <c r="J263" s="4" t="s">
        <v>798</v>
      </c>
      <c r="K263" s="4"/>
      <c r="L263" s="4"/>
      <c r="M263" s="18" t="str">
        <f>HYPERLINK("http://slimages.macys.com/is/image/MCY/18744483 ")</f>
        <v xml:space="preserve">http://slimages.macys.com/is/image/MCY/18744483 </v>
      </c>
      <c r="N263" s="19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6" t="s">
        <v>799</v>
      </c>
      <c r="B264" s="4" t="s">
        <v>800</v>
      </c>
      <c r="C264" s="3">
        <v>2</v>
      </c>
      <c r="D264" s="17">
        <v>19.989999999999998</v>
      </c>
      <c r="E264" s="3" t="s">
        <v>801</v>
      </c>
      <c r="F264" s="4" t="s">
        <v>287</v>
      </c>
      <c r="G264" s="16"/>
      <c r="H264" s="17">
        <v>7.7786982248520715</v>
      </c>
      <c r="I264" s="4" t="s">
        <v>253</v>
      </c>
      <c r="J264" s="4" t="s">
        <v>651</v>
      </c>
      <c r="K264" s="4"/>
      <c r="L264" s="4"/>
      <c r="M264" s="18" t="str">
        <f t="shared" ref="M264:M266" si="32">HYPERLINK("http://slimages.macys.com/is/image/MCY/19884572 ")</f>
        <v xml:space="preserve">http://slimages.macys.com/is/image/MCY/19884572 </v>
      </c>
      <c r="N264" s="19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6" t="s">
        <v>802</v>
      </c>
      <c r="B265" s="4" t="s">
        <v>803</v>
      </c>
      <c r="C265" s="3">
        <v>3</v>
      </c>
      <c r="D265" s="17">
        <v>19.989999999999998</v>
      </c>
      <c r="E265" s="3" t="s">
        <v>804</v>
      </c>
      <c r="F265" s="4" t="s">
        <v>38</v>
      </c>
      <c r="G265" s="16"/>
      <c r="H265" s="17">
        <v>7.7786982248520715</v>
      </c>
      <c r="I265" s="4" t="s">
        <v>253</v>
      </c>
      <c r="J265" s="4" t="s">
        <v>651</v>
      </c>
      <c r="K265" s="4"/>
      <c r="L265" s="4"/>
      <c r="M265" s="18" t="str">
        <f t="shared" si="32"/>
        <v xml:space="preserve">http://slimages.macys.com/is/image/MCY/19884572 </v>
      </c>
      <c r="N265" s="19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6" t="s">
        <v>799</v>
      </c>
      <c r="B266" s="4" t="s">
        <v>800</v>
      </c>
      <c r="C266" s="3">
        <v>2</v>
      </c>
      <c r="D266" s="17">
        <v>19.989999999999998</v>
      </c>
      <c r="E266" s="3" t="s">
        <v>801</v>
      </c>
      <c r="F266" s="4" t="s">
        <v>287</v>
      </c>
      <c r="G266" s="16"/>
      <c r="H266" s="17">
        <v>7.7786982248520715</v>
      </c>
      <c r="I266" s="4" t="s">
        <v>253</v>
      </c>
      <c r="J266" s="4" t="s">
        <v>651</v>
      </c>
      <c r="K266" s="4"/>
      <c r="L266" s="4"/>
      <c r="M266" s="18" t="str">
        <f t="shared" si="32"/>
        <v xml:space="preserve">http://slimages.macys.com/is/image/MCY/19884572 </v>
      </c>
      <c r="N266" s="19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6" t="s">
        <v>805</v>
      </c>
      <c r="B267" s="4" t="s">
        <v>806</v>
      </c>
      <c r="C267" s="3">
        <v>1</v>
      </c>
      <c r="D267" s="17">
        <v>14.99</v>
      </c>
      <c r="E267" s="3" t="s">
        <v>807</v>
      </c>
      <c r="F267" s="4" t="s">
        <v>38</v>
      </c>
      <c r="G267" s="16"/>
      <c r="H267" s="17">
        <v>7.7455621301775146</v>
      </c>
      <c r="I267" s="4" t="s">
        <v>808</v>
      </c>
      <c r="J267" s="4" t="s">
        <v>809</v>
      </c>
      <c r="K267" s="4"/>
      <c r="L267" s="4"/>
      <c r="M267" s="18" t="str">
        <f>HYPERLINK("http://slimages.macys.com/is/image/MCY/19780775 ")</f>
        <v xml:space="preserve">http://slimages.macys.com/is/image/MCY/19780775 </v>
      </c>
      <c r="N267" s="19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6" t="s">
        <v>810</v>
      </c>
      <c r="B268" s="4" t="s">
        <v>811</v>
      </c>
      <c r="C268" s="3">
        <v>4</v>
      </c>
      <c r="D268" s="17">
        <v>14.99</v>
      </c>
      <c r="E268" s="3" t="s">
        <v>812</v>
      </c>
      <c r="F268" s="4" t="s">
        <v>605</v>
      </c>
      <c r="G268" s="16"/>
      <c r="H268" s="17">
        <v>7.7065088757396438</v>
      </c>
      <c r="I268" s="4" t="s">
        <v>44</v>
      </c>
      <c r="J268" s="4" t="s">
        <v>502</v>
      </c>
      <c r="K268" s="4" t="s">
        <v>33</v>
      </c>
      <c r="L268" s="4" t="s">
        <v>128</v>
      </c>
      <c r="M268" s="18" t="str">
        <f>HYPERLINK("http://slimages.macys.com/is/image/MCY/9058123 ")</f>
        <v xml:space="preserve">http://slimages.macys.com/is/image/MCY/9058123 </v>
      </c>
      <c r="N268" s="19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6" t="s">
        <v>813</v>
      </c>
      <c r="B269" s="4" t="s">
        <v>814</v>
      </c>
      <c r="C269" s="3">
        <v>1</v>
      </c>
      <c r="D269" s="17">
        <v>19.989999999999998</v>
      </c>
      <c r="E269" s="3" t="s">
        <v>815</v>
      </c>
      <c r="F269" s="4" t="s">
        <v>216</v>
      </c>
      <c r="G269" s="16"/>
      <c r="H269" s="17">
        <v>7.7041420118343193</v>
      </c>
      <c r="I269" s="4" t="s">
        <v>253</v>
      </c>
      <c r="J269" s="4" t="s">
        <v>651</v>
      </c>
      <c r="K269" s="4"/>
      <c r="L269" s="4"/>
      <c r="M269" s="18" t="str">
        <f t="shared" ref="M269:M271" si="33">HYPERLINK("http://slimages.macys.com/is/image/MCY/19728439 ")</f>
        <v xml:space="preserve">http://slimages.macys.com/is/image/MCY/19728439 </v>
      </c>
      <c r="N269" s="19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6" t="s">
        <v>813</v>
      </c>
      <c r="B270" s="4" t="s">
        <v>814</v>
      </c>
      <c r="C270" s="3">
        <v>8</v>
      </c>
      <c r="D270" s="17">
        <v>19.989999999999998</v>
      </c>
      <c r="E270" s="3" t="s">
        <v>815</v>
      </c>
      <c r="F270" s="4" t="s">
        <v>216</v>
      </c>
      <c r="G270" s="16"/>
      <c r="H270" s="17">
        <v>7.7041420118343193</v>
      </c>
      <c r="I270" s="4" t="s">
        <v>253</v>
      </c>
      <c r="J270" s="4" t="s">
        <v>651</v>
      </c>
      <c r="K270" s="4"/>
      <c r="L270" s="4"/>
      <c r="M270" s="18" t="str">
        <f t="shared" si="33"/>
        <v xml:space="preserve">http://slimages.macys.com/is/image/MCY/19728439 </v>
      </c>
      <c r="N270" s="19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6" t="s">
        <v>816</v>
      </c>
      <c r="B271" s="4" t="s">
        <v>817</v>
      </c>
      <c r="C271" s="3">
        <v>3</v>
      </c>
      <c r="D271" s="17">
        <v>19.989999999999998</v>
      </c>
      <c r="E271" s="3" t="s">
        <v>815</v>
      </c>
      <c r="F271" s="4" t="s">
        <v>38</v>
      </c>
      <c r="G271" s="16"/>
      <c r="H271" s="17">
        <v>7.7041420118343193</v>
      </c>
      <c r="I271" s="4" t="s">
        <v>253</v>
      </c>
      <c r="J271" s="4" t="s">
        <v>651</v>
      </c>
      <c r="K271" s="4"/>
      <c r="L271" s="4"/>
      <c r="M271" s="18" t="str">
        <f t="shared" si="33"/>
        <v xml:space="preserve">http://slimages.macys.com/is/image/MCY/19728439 </v>
      </c>
      <c r="N271" s="19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6" t="s">
        <v>818</v>
      </c>
      <c r="B272" s="4" t="s">
        <v>819</v>
      </c>
      <c r="C272" s="3">
        <v>1</v>
      </c>
      <c r="D272" s="17">
        <v>19.989999999999998</v>
      </c>
      <c r="E272" s="3" t="s">
        <v>820</v>
      </c>
      <c r="F272" s="4" t="s">
        <v>212</v>
      </c>
      <c r="G272" s="16"/>
      <c r="H272" s="17">
        <v>7.7041420118343193</v>
      </c>
      <c r="I272" s="4" t="s">
        <v>253</v>
      </c>
      <c r="J272" s="4" t="s">
        <v>651</v>
      </c>
      <c r="K272" s="4"/>
      <c r="L272" s="4"/>
      <c r="M272" s="18" t="str">
        <f>HYPERLINK("http://slimages.macys.com/is/image/MCY/19728381 ")</f>
        <v xml:space="preserve">http://slimages.macys.com/is/image/MCY/19728381 </v>
      </c>
      <c r="N272" s="19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6" t="s">
        <v>816</v>
      </c>
      <c r="B273" s="4" t="s">
        <v>817</v>
      </c>
      <c r="C273" s="3">
        <v>6</v>
      </c>
      <c r="D273" s="17">
        <v>19.989999999999998</v>
      </c>
      <c r="E273" s="3" t="s">
        <v>815</v>
      </c>
      <c r="F273" s="4" t="s">
        <v>38</v>
      </c>
      <c r="G273" s="16"/>
      <c r="H273" s="17">
        <v>7.7041420118343193</v>
      </c>
      <c r="I273" s="4" t="s">
        <v>253</v>
      </c>
      <c r="J273" s="4" t="s">
        <v>651</v>
      </c>
      <c r="K273" s="4"/>
      <c r="L273" s="4"/>
      <c r="M273" s="18" t="str">
        <f>HYPERLINK("http://slimages.macys.com/is/image/MCY/19728439 ")</f>
        <v xml:space="preserve">http://slimages.macys.com/is/image/MCY/19728439 </v>
      </c>
      <c r="N273" s="19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6" t="s">
        <v>818</v>
      </c>
      <c r="B274" s="4" t="s">
        <v>819</v>
      </c>
      <c r="C274" s="3">
        <v>3</v>
      </c>
      <c r="D274" s="17">
        <v>19.989999999999998</v>
      </c>
      <c r="E274" s="3" t="s">
        <v>820</v>
      </c>
      <c r="F274" s="4" t="s">
        <v>212</v>
      </c>
      <c r="G274" s="16"/>
      <c r="H274" s="17">
        <v>7.7041420118343193</v>
      </c>
      <c r="I274" s="4" t="s">
        <v>253</v>
      </c>
      <c r="J274" s="4" t="s">
        <v>651</v>
      </c>
      <c r="K274" s="4"/>
      <c r="L274" s="4"/>
      <c r="M274" s="18" t="str">
        <f>HYPERLINK("http://slimages.macys.com/is/image/MCY/19728381 ")</f>
        <v xml:space="preserve">http://slimages.macys.com/is/image/MCY/19728381 </v>
      </c>
      <c r="N274" s="19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6" t="s">
        <v>821</v>
      </c>
      <c r="B275" s="4" t="s">
        <v>822</v>
      </c>
      <c r="C275" s="3">
        <v>1</v>
      </c>
      <c r="D275" s="17">
        <v>8.99</v>
      </c>
      <c r="E275" s="3">
        <v>13952</v>
      </c>
      <c r="F275" s="4" t="s">
        <v>38</v>
      </c>
      <c r="G275" s="16" t="s">
        <v>823</v>
      </c>
      <c r="H275" s="17">
        <v>7.6544378698224849</v>
      </c>
      <c r="I275" s="4" t="s">
        <v>630</v>
      </c>
      <c r="J275" s="4" t="s">
        <v>357</v>
      </c>
      <c r="K275" s="4" t="s">
        <v>824</v>
      </c>
      <c r="L275" s="4" t="s">
        <v>568</v>
      </c>
      <c r="M275" s="18" t="str">
        <f>HYPERLINK("http://slimages.macys.com/is/image/MCY/1451913 ")</f>
        <v xml:space="preserve">http://slimages.macys.com/is/image/MCY/1451913 </v>
      </c>
      <c r="N275" s="19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6" t="s">
        <v>825</v>
      </c>
      <c r="B276" s="4" t="s">
        <v>826</v>
      </c>
      <c r="C276" s="3">
        <v>1</v>
      </c>
      <c r="D276" s="17">
        <v>19.989999999999998</v>
      </c>
      <c r="E276" s="3" t="s">
        <v>827</v>
      </c>
      <c r="F276" s="4" t="s">
        <v>828</v>
      </c>
      <c r="G276" s="16"/>
      <c r="H276" s="17">
        <v>7.4319526627218924</v>
      </c>
      <c r="I276" s="4" t="s">
        <v>44</v>
      </c>
      <c r="J276" s="4" t="s">
        <v>45</v>
      </c>
      <c r="K276" s="4"/>
      <c r="L276" s="4"/>
      <c r="M276" s="18" t="str">
        <f t="shared" ref="M276:M277" si="34">HYPERLINK("http://slimages.macys.com/is/image/MCY/19819193 ")</f>
        <v xml:space="preserve">http://slimages.macys.com/is/image/MCY/19819193 </v>
      </c>
      <c r="N276" s="19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6" t="s">
        <v>829</v>
      </c>
      <c r="B277" s="4" t="s">
        <v>830</v>
      </c>
      <c r="C277" s="3">
        <v>1</v>
      </c>
      <c r="D277" s="17">
        <v>19.989999999999998</v>
      </c>
      <c r="E277" s="3" t="s">
        <v>831</v>
      </c>
      <c r="F277" s="4" t="s">
        <v>30</v>
      </c>
      <c r="G277" s="16"/>
      <c r="H277" s="17">
        <v>7.4319526627218924</v>
      </c>
      <c r="I277" s="4" t="s">
        <v>44</v>
      </c>
      <c r="J277" s="4" t="s">
        <v>45</v>
      </c>
      <c r="K277" s="4"/>
      <c r="L277" s="4"/>
      <c r="M277" s="18" t="str">
        <f t="shared" si="34"/>
        <v xml:space="preserve">http://slimages.macys.com/is/image/MCY/19819193 </v>
      </c>
      <c r="N277" s="19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6" t="s">
        <v>832</v>
      </c>
      <c r="B278" s="4" t="s">
        <v>833</v>
      </c>
      <c r="C278" s="3">
        <v>3</v>
      </c>
      <c r="D278" s="17">
        <v>16.989999999999998</v>
      </c>
      <c r="E278" s="3" t="s">
        <v>834</v>
      </c>
      <c r="F278" s="4" t="s">
        <v>521</v>
      </c>
      <c r="G278" s="16"/>
      <c r="H278" s="17">
        <v>7.3562130177514797</v>
      </c>
      <c r="I278" s="4" t="s">
        <v>44</v>
      </c>
      <c r="J278" s="4" t="s">
        <v>835</v>
      </c>
      <c r="K278" s="4" t="s">
        <v>33</v>
      </c>
      <c r="L278" s="4" t="s">
        <v>836</v>
      </c>
      <c r="M278" s="18" t="str">
        <f>HYPERLINK("http://slimages.macys.com/is/image/MCY/11461598 ")</f>
        <v xml:space="preserve">http://slimages.macys.com/is/image/MCY/11461598 </v>
      </c>
      <c r="N278" s="19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6" t="s">
        <v>837</v>
      </c>
      <c r="B279" s="4" t="s">
        <v>838</v>
      </c>
      <c r="C279" s="3">
        <v>2</v>
      </c>
      <c r="D279" s="17">
        <v>16.989999999999998</v>
      </c>
      <c r="E279" s="3" t="s">
        <v>839</v>
      </c>
      <c r="F279" s="4" t="s">
        <v>216</v>
      </c>
      <c r="G279" s="16"/>
      <c r="H279" s="17">
        <v>7.1656804733727801</v>
      </c>
      <c r="I279" s="4" t="s">
        <v>253</v>
      </c>
      <c r="J279" s="4" t="s">
        <v>651</v>
      </c>
      <c r="K279" s="4"/>
      <c r="L279" s="4"/>
      <c r="M279" s="18" t="str">
        <f t="shared" ref="M279:M280" si="35">HYPERLINK("http://slimages.macys.com/is/image/MCY/19888257 ")</f>
        <v xml:space="preserve">http://slimages.macys.com/is/image/MCY/19888257 </v>
      </c>
      <c r="N279" s="19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6" t="s">
        <v>837</v>
      </c>
      <c r="B280" s="4" t="s">
        <v>838</v>
      </c>
      <c r="C280" s="3">
        <v>3</v>
      </c>
      <c r="D280" s="17">
        <v>16.989999999999998</v>
      </c>
      <c r="E280" s="3" t="s">
        <v>839</v>
      </c>
      <c r="F280" s="4" t="s">
        <v>216</v>
      </c>
      <c r="G280" s="16"/>
      <c r="H280" s="17">
        <v>7.1656804733727801</v>
      </c>
      <c r="I280" s="4" t="s">
        <v>253</v>
      </c>
      <c r="J280" s="4" t="s">
        <v>651</v>
      </c>
      <c r="K280" s="4"/>
      <c r="L280" s="4"/>
      <c r="M280" s="18" t="str">
        <f t="shared" si="35"/>
        <v xml:space="preserve">http://slimages.macys.com/is/image/MCY/19888257 </v>
      </c>
      <c r="N280" s="19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6" t="s">
        <v>840</v>
      </c>
      <c r="B281" s="4" t="s">
        <v>841</v>
      </c>
      <c r="C281" s="3">
        <v>2</v>
      </c>
      <c r="D281" s="17">
        <v>16.989999999999998</v>
      </c>
      <c r="E281" s="3" t="s">
        <v>842</v>
      </c>
      <c r="F281" s="4" t="s">
        <v>38</v>
      </c>
      <c r="G281" s="16" t="s">
        <v>629</v>
      </c>
      <c r="H281" s="17">
        <v>6.9585798816568047</v>
      </c>
      <c r="I281" s="4" t="s">
        <v>356</v>
      </c>
      <c r="J281" s="4" t="s">
        <v>357</v>
      </c>
      <c r="K281" s="4"/>
      <c r="L281" s="4"/>
      <c r="M281" s="18" t="str">
        <f>HYPERLINK("http://slimages.macys.com/is/image/MCY/19996045 ")</f>
        <v xml:space="preserve">http://slimages.macys.com/is/image/MCY/19996045 </v>
      </c>
      <c r="N281" s="19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6" t="s">
        <v>843</v>
      </c>
      <c r="B282" s="4" t="s">
        <v>844</v>
      </c>
      <c r="C282" s="3">
        <v>1</v>
      </c>
      <c r="D282" s="17">
        <v>16.989999999999998</v>
      </c>
      <c r="E282" s="3" t="s">
        <v>845</v>
      </c>
      <c r="F282" s="4" t="s">
        <v>287</v>
      </c>
      <c r="G282" s="16" t="s">
        <v>846</v>
      </c>
      <c r="H282" s="17">
        <v>6.9585798816568047</v>
      </c>
      <c r="I282" s="4" t="s">
        <v>356</v>
      </c>
      <c r="J282" s="4" t="s">
        <v>208</v>
      </c>
      <c r="K282" s="4"/>
      <c r="L282" s="4"/>
      <c r="M282" s="18" t="str">
        <f>HYPERLINK("http://slimages.macys.com/is/image/MCY/19041816 ")</f>
        <v xml:space="preserve">http://slimages.macys.com/is/image/MCY/19041816 </v>
      </c>
      <c r="N282" s="19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6" t="s">
        <v>847</v>
      </c>
      <c r="B283" s="4" t="s">
        <v>848</v>
      </c>
      <c r="C283" s="3">
        <v>1</v>
      </c>
      <c r="D283" s="17">
        <v>19.989999999999998</v>
      </c>
      <c r="E283" s="3" t="s">
        <v>849</v>
      </c>
      <c r="F283" s="4" t="s">
        <v>38</v>
      </c>
      <c r="G283" s="16"/>
      <c r="H283" s="17">
        <v>6.9502958579881655</v>
      </c>
      <c r="I283" s="4" t="s">
        <v>253</v>
      </c>
      <c r="J283" s="4" t="s">
        <v>651</v>
      </c>
      <c r="K283" s="4"/>
      <c r="L283" s="4"/>
      <c r="M283" s="18" t="str">
        <f t="shared" ref="M283:M284" si="36">HYPERLINK("http://slimages.macys.com/is/image/MCY/19728424 ")</f>
        <v xml:space="preserve">http://slimages.macys.com/is/image/MCY/19728424 </v>
      </c>
      <c r="N283" s="19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6" t="s">
        <v>847</v>
      </c>
      <c r="B284" s="4" t="s">
        <v>848</v>
      </c>
      <c r="C284" s="3">
        <v>1</v>
      </c>
      <c r="D284" s="17">
        <v>19.989999999999998</v>
      </c>
      <c r="E284" s="3" t="s">
        <v>849</v>
      </c>
      <c r="F284" s="4" t="s">
        <v>38</v>
      </c>
      <c r="G284" s="16"/>
      <c r="H284" s="17">
        <v>6.9502958579881655</v>
      </c>
      <c r="I284" s="4" t="s">
        <v>253</v>
      </c>
      <c r="J284" s="4" t="s">
        <v>651</v>
      </c>
      <c r="K284" s="4"/>
      <c r="L284" s="4"/>
      <c r="M284" s="18" t="str">
        <f t="shared" si="36"/>
        <v xml:space="preserve">http://slimages.macys.com/is/image/MCY/19728424 </v>
      </c>
      <c r="N284" s="19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6" t="s">
        <v>850</v>
      </c>
      <c r="B285" s="4" t="s">
        <v>851</v>
      </c>
      <c r="C285" s="3">
        <v>1</v>
      </c>
      <c r="D285" s="17">
        <v>16.989999999999998</v>
      </c>
      <c r="E285" s="3" t="s">
        <v>852</v>
      </c>
      <c r="F285" s="4" t="s">
        <v>853</v>
      </c>
      <c r="G285" s="16" t="s">
        <v>854</v>
      </c>
      <c r="H285" s="17">
        <v>6.834319526627219</v>
      </c>
      <c r="I285" s="4" t="s">
        <v>137</v>
      </c>
      <c r="J285" s="4" t="s">
        <v>855</v>
      </c>
      <c r="K285" s="4" t="s">
        <v>33</v>
      </c>
      <c r="L285" s="4" t="s">
        <v>128</v>
      </c>
      <c r="M285" s="18" t="str">
        <f>HYPERLINK("http://slimages.macys.com/is/image/MCY/16465685 ")</f>
        <v xml:space="preserve">http://slimages.macys.com/is/image/MCY/16465685 </v>
      </c>
      <c r="N285" s="19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6" t="s">
        <v>856</v>
      </c>
      <c r="B286" s="4" t="s">
        <v>857</v>
      </c>
      <c r="C286" s="3">
        <v>1</v>
      </c>
      <c r="D286" s="17">
        <v>19.989999999999998</v>
      </c>
      <c r="E286" s="3" t="s">
        <v>858</v>
      </c>
      <c r="F286" s="4" t="s">
        <v>49</v>
      </c>
      <c r="G286" s="16" t="s">
        <v>131</v>
      </c>
      <c r="H286" s="17">
        <v>6.834319526627219</v>
      </c>
      <c r="I286" s="4" t="s">
        <v>137</v>
      </c>
      <c r="J286" s="4" t="s">
        <v>208</v>
      </c>
      <c r="K286" s="4"/>
      <c r="L286" s="4"/>
      <c r="M286" s="18" t="str">
        <f>HYPERLINK("http://slimages.macys.com/is/image/MCY/19744421 ")</f>
        <v xml:space="preserve">http://slimages.macys.com/is/image/MCY/19744421 </v>
      </c>
      <c r="N286" s="19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6" t="s">
        <v>859</v>
      </c>
      <c r="B287" s="4" t="s">
        <v>860</v>
      </c>
      <c r="C287" s="3">
        <v>1</v>
      </c>
      <c r="D287" s="17">
        <v>16.989999999999998</v>
      </c>
      <c r="E287" s="3" t="s">
        <v>861</v>
      </c>
      <c r="F287" s="4" t="s">
        <v>30</v>
      </c>
      <c r="G287" s="16"/>
      <c r="H287" s="17">
        <v>6.5510059171597623</v>
      </c>
      <c r="I287" s="4" t="s">
        <v>356</v>
      </c>
      <c r="J287" s="4" t="s">
        <v>254</v>
      </c>
      <c r="K287" s="4" t="s">
        <v>619</v>
      </c>
      <c r="L287" s="4" t="s">
        <v>862</v>
      </c>
      <c r="M287" s="18" t="str">
        <f>HYPERLINK("http://slimages.macys.com/is/image/MCY/9515656 ")</f>
        <v xml:space="preserve">http://slimages.macys.com/is/image/MCY/9515656 </v>
      </c>
      <c r="N287" s="19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6" t="s">
        <v>863</v>
      </c>
      <c r="B288" s="4" t="s">
        <v>864</v>
      </c>
      <c r="C288" s="3">
        <v>1</v>
      </c>
      <c r="D288" s="17">
        <v>29.99</v>
      </c>
      <c r="E288" s="3" t="s">
        <v>865</v>
      </c>
      <c r="F288" s="4" t="s">
        <v>162</v>
      </c>
      <c r="G288" s="16"/>
      <c r="H288" s="17">
        <v>6.2875739644970405</v>
      </c>
      <c r="I288" s="4" t="s">
        <v>163</v>
      </c>
      <c r="J288" s="4" t="s">
        <v>164</v>
      </c>
      <c r="K288" s="4"/>
      <c r="L288" s="4"/>
      <c r="M288" s="18" t="str">
        <f t="shared" ref="M288:M289" si="37">HYPERLINK("http://slimages.macys.com/is/image/MCY/18159735 ")</f>
        <v xml:space="preserve">http://slimages.macys.com/is/image/MCY/18159735 </v>
      </c>
      <c r="N288" s="19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6" t="s">
        <v>863</v>
      </c>
      <c r="B289" s="4" t="s">
        <v>864</v>
      </c>
      <c r="C289" s="3">
        <v>11</v>
      </c>
      <c r="D289" s="17">
        <v>29.99</v>
      </c>
      <c r="E289" s="3" t="s">
        <v>865</v>
      </c>
      <c r="F289" s="4" t="s">
        <v>162</v>
      </c>
      <c r="G289" s="16"/>
      <c r="H289" s="17">
        <v>6.2875739644970405</v>
      </c>
      <c r="I289" s="4" t="s">
        <v>163</v>
      </c>
      <c r="J289" s="4" t="s">
        <v>164</v>
      </c>
      <c r="K289" s="4"/>
      <c r="L289" s="4"/>
      <c r="M289" s="18" t="str">
        <f t="shared" si="37"/>
        <v xml:space="preserve">http://slimages.macys.com/is/image/MCY/18159735 </v>
      </c>
      <c r="N289" s="19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6" t="s">
        <v>866</v>
      </c>
      <c r="B290" s="4" t="s">
        <v>867</v>
      </c>
      <c r="C290" s="3">
        <v>1</v>
      </c>
      <c r="D290" s="17">
        <v>29.99</v>
      </c>
      <c r="E290" s="3" t="s">
        <v>868</v>
      </c>
      <c r="F290" s="4" t="s">
        <v>38</v>
      </c>
      <c r="G290" s="16"/>
      <c r="H290" s="17">
        <v>6.2378698224852061</v>
      </c>
      <c r="I290" s="4" t="s">
        <v>163</v>
      </c>
      <c r="J290" s="4" t="s">
        <v>164</v>
      </c>
      <c r="K290" s="4"/>
      <c r="L290" s="4"/>
      <c r="M290" s="18" t="str">
        <f>HYPERLINK("http://slimages.macys.com/is/image/MCY/18513735 ")</f>
        <v xml:space="preserve">http://slimages.macys.com/is/image/MCY/18513735 </v>
      </c>
      <c r="N290" s="19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6" t="s">
        <v>869</v>
      </c>
      <c r="B291" s="4" t="s">
        <v>870</v>
      </c>
      <c r="C291" s="3">
        <v>7</v>
      </c>
      <c r="D291" s="17">
        <v>16.989999999999998</v>
      </c>
      <c r="E291" s="3" t="s">
        <v>871</v>
      </c>
      <c r="F291" s="4" t="s">
        <v>30</v>
      </c>
      <c r="G291" s="16" t="s">
        <v>629</v>
      </c>
      <c r="H291" s="17">
        <v>6.2130177514792893</v>
      </c>
      <c r="I291" s="4" t="s">
        <v>556</v>
      </c>
      <c r="J291" s="4" t="s">
        <v>346</v>
      </c>
      <c r="K291" s="4"/>
      <c r="L291" s="4"/>
      <c r="M291" s="18" t="str">
        <f>HYPERLINK("http://slimages.macys.com/is/image/MCY/19975127 ")</f>
        <v xml:space="preserve">http://slimages.macys.com/is/image/MCY/19975127 </v>
      </c>
      <c r="N291" s="19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6" t="s">
        <v>872</v>
      </c>
      <c r="B292" s="4" t="s">
        <v>873</v>
      </c>
      <c r="C292" s="3">
        <v>3</v>
      </c>
      <c r="D292" s="17">
        <v>18.989999999999998</v>
      </c>
      <c r="E292" s="3">
        <v>10261</v>
      </c>
      <c r="F292" s="4" t="s">
        <v>102</v>
      </c>
      <c r="G292" s="16" t="s">
        <v>731</v>
      </c>
      <c r="H292" s="17">
        <v>6.1538461538461533</v>
      </c>
      <c r="I292" s="4" t="s">
        <v>44</v>
      </c>
      <c r="J292" s="4" t="s">
        <v>874</v>
      </c>
      <c r="K292" s="4" t="s">
        <v>33</v>
      </c>
      <c r="L292" s="4" t="s">
        <v>128</v>
      </c>
      <c r="M292" s="18" t="str">
        <f>HYPERLINK("http://slimages.macys.com/is/image/MCY/11837428 ")</f>
        <v xml:space="preserve">http://slimages.macys.com/is/image/MCY/11837428 </v>
      </c>
      <c r="N292" s="19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6" t="s">
        <v>875</v>
      </c>
      <c r="B293" s="4" t="s">
        <v>876</v>
      </c>
      <c r="C293" s="3">
        <v>1</v>
      </c>
      <c r="D293" s="17">
        <v>12.99</v>
      </c>
      <c r="E293" s="3" t="s">
        <v>877</v>
      </c>
      <c r="F293" s="4" t="s">
        <v>176</v>
      </c>
      <c r="G293" s="16"/>
      <c r="H293" s="17">
        <v>6.1301775147928987</v>
      </c>
      <c r="I293" s="4" t="s">
        <v>253</v>
      </c>
      <c r="J293" s="4" t="s">
        <v>651</v>
      </c>
      <c r="K293" s="4"/>
      <c r="L293" s="4"/>
      <c r="M293" s="18" t="str">
        <f>HYPERLINK("http://slimages.macys.com/is/image/MCY/17332219 ")</f>
        <v xml:space="preserve">http://slimages.macys.com/is/image/MCY/17332219 </v>
      </c>
      <c r="N293" s="19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6" t="s">
        <v>878</v>
      </c>
      <c r="B294" s="4" t="s">
        <v>879</v>
      </c>
      <c r="C294" s="3">
        <v>1</v>
      </c>
      <c r="D294" s="17">
        <v>12.99</v>
      </c>
      <c r="E294" s="3" t="s">
        <v>880</v>
      </c>
      <c r="F294" s="4" t="s">
        <v>506</v>
      </c>
      <c r="G294" s="16"/>
      <c r="H294" s="17">
        <v>6.1301775147928987</v>
      </c>
      <c r="I294" s="4" t="s">
        <v>253</v>
      </c>
      <c r="J294" s="4" t="s">
        <v>651</v>
      </c>
      <c r="K294" s="4"/>
      <c r="L294" s="4"/>
      <c r="M294" s="18" t="str">
        <f>HYPERLINK("http://slimages.macys.com/is/image/MCY/17332224 ")</f>
        <v xml:space="preserve">http://slimages.macys.com/is/image/MCY/17332224 </v>
      </c>
      <c r="N294" s="19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6" t="s">
        <v>881</v>
      </c>
      <c r="B295" s="4" t="s">
        <v>882</v>
      </c>
      <c r="C295" s="3">
        <v>2</v>
      </c>
      <c r="D295" s="17">
        <v>14.99</v>
      </c>
      <c r="E295" s="3" t="s">
        <v>883</v>
      </c>
      <c r="F295" s="4" t="s">
        <v>884</v>
      </c>
      <c r="G295" s="16" t="s">
        <v>149</v>
      </c>
      <c r="H295" s="17">
        <v>6.0639053254437867</v>
      </c>
      <c r="I295" s="4" t="s">
        <v>356</v>
      </c>
      <c r="J295" s="4" t="s">
        <v>885</v>
      </c>
      <c r="K295" s="4"/>
      <c r="L295" s="4"/>
      <c r="M295" s="18" t="str">
        <f>HYPERLINK("http://slimages.macys.com/is/image/MCY/19945002 ")</f>
        <v xml:space="preserve">http://slimages.macys.com/is/image/MCY/19945002 </v>
      </c>
      <c r="N295" s="19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6" t="s">
        <v>886</v>
      </c>
      <c r="B296" s="4" t="s">
        <v>887</v>
      </c>
      <c r="C296" s="3">
        <v>1</v>
      </c>
      <c r="D296" s="17">
        <v>29.99</v>
      </c>
      <c r="E296" s="3" t="s">
        <v>888</v>
      </c>
      <c r="F296" s="4" t="s">
        <v>49</v>
      </c>
      <c r="G296" s="16"/>
      <c r="H296" s="17">
        <v>5.9479289940828393</v>
      </c>
      <c r="I296" s="4" t="s">
        <v>163</v>
      </c>
      <c r="J296" s="4" t="s">
        <v>164</v>
      </c>
      <c r="K296" s="4"/>
      <c r="L296" s="4"/>
      <c r="M296" s="18" t="str">
        <f>HYPERLINK("http://slimages.macys.com/is/image/MCY/19020982 ")</f>
        <v xml:space="preserve">http://slimages.macys.com/is/image/MCY/19020982 </v>
      </c>
      <c r="N296" s="19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6" t="s">
        <v>889</v>
      </c>
      <c r="B297" s="4" t="s">
        <v>890</v>
      </c>
      <c r="C297" s="3">
        <v>1</v>
      </c>
      <c r="D297" s="17">
        <v>24.99</v>
      </c>
      <c r="E297" s="3">
        <v>17465</v>
      </c>
      <c r="F297" s="4" t="s">
        <v>355</v>
      </c>
      <c r="G297" s="16" t="s">
        <v>149</v>
      </c>
      <c r="H297" s="17">
        <v>5.7988165680473367</v>
      </c>
      <c r="I297" s="4" t="s">
        <v>55</v>
      </c>
      <c r="J297" s="4" t="s">
        <v>891</v>
      </c>
      <c r="K297" s="4"/>
      <c r="L297" s="4"/>
      <c r="M297" s="18" t="str">
        <f>HYPERLINK("http://slimages.macys.com/is/image/MCY/19242155 ")</f>
        <v xml:space="preserve">http://slimages.macys.com/is/image/MCY/19242155 </v>
      </c>
      <c r="N297" s="19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6" t="s">
        <v>892</v>
      </c>
      <c r="B298" s="4" t="s">
        <v>893</v>
      </c>
      <c r="C298" s="3">
        <v>1</v>
      </c>
      <c r="D298" s="17">
        <v>29.99</v>
      </c>
      <c r="E298" s="3" t="s">
        <v>894</v>
      </c>
      <c r="F298" s="4" t="s">
        <v>49</v>
      </c>
      <c r="G298" s="16"/>
      <c r="H298" s="17">
        <v>5.6</v>
      </c>
      <c r="I298" s="4" t="s">
        <v>168</v>
      </c>
      <c r="J298" s="4" t="s">
        <v>249</v>
      </c>
      <c r="K298" s="4" t="s">
        <v>33</v>
      </c>
      <c r="L298" s="4" t="s">
        <v>895</v>
      </c>
      <c r="M298" s="18" t="str">
        <f>HYPERLINK("http://slimages.macys.com/is/image/MCY/16143909 ")</f>
        <v xml:space="preserve">http://slimages.macys.com/is/image/MCY/16143909 </v>
      </c>
      <c r="N298" s="19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6" t="s">
        <v>896</v>
      </c>
      <c r="B299" s="4" t="s">
        <v>897</v>
      </c>
      <c r="C299" s="3">
        <v>5</v>
      </c>
      <c r="D299" s="17">
        <v>8.99</v>
      </c>
      <c r="E299" s="3" t="s">
        <v>898</v>
      </c>
      <c r="F299" s="4" t="s">
        <v>30</v>
      </c>
      <c r="G299" s="16"/>
      <c r="H299" s="17">
        <v>5.5917159763313604</v>
      </c>
      <c r="I299" s="4" t="s">
        <v>253</v>
      </c>
      <c r="J299" s="4" t="s">
        <v>651</v>
      </c>
      <c r="K299" s="4"/>
      <c r="L299" s="4"/>
      <c r="M299" s="18" t="str">
        <f>HYPERLINK("http://slimages.macys.com/is/image/MCY/19888253 ")</f>
        <v xml:space="preserve">http://slimages.macys.com/is/image/MCY/19888253 </v>
      </c>
      <c r="N299" s="19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6" t="s">
        <v>899</v>
      </c>
      <c r="B300" s="4" t="s">
        <v>900</v>
      </c>
      <c r="C300" s="3">
        <v>1</v>
      </c>
      <c r="D300" s="17">
        <v>8.99</v>
      </c>
      <c r="E300" s="3" t="s">
        <v>901</v>
      </c>
      <c r="F300" s="4" t="s">
        <v>333</v>
      </c>
      <c r="G300" s="16"/>
      <c r="H300" s="17">
        <v>5.5917159763313604</v>
      </c>
      <c r="I300" s="4" t="s">
        <v>253</v>
      </c>
      <c r="J300" s="4" t="s">
        <v>651</v>
      </c>
      <c r="K300" s="4"/>
      <c r="L300" s="4"/>
      <c r="M300" s="18" t="str">
        <f>HYPERLINK("http://slimages.macys.com/is/image/MCY/19885354 ")</f>
        <v xml:space="preserve">http://slimages.macys.com/is/image/MCY/19885354 </v>
      </c>
      <c r="N300" s="19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6" t="s">
        <v>902</v>
      </c>
      <c r="B301" s="4" t="s">
        <v>903</v>
      </c>
      <c r="C301" s="3">
        <v>6</v>
      </c>
      <c r="D301" s="17">
        <v>8.99</v>
      </c>
      <c r="E301" s="3" t="s">
        <v>904</v>
      </c>
      <c r="F301" s="4" t="s">
        <v>252</v>
      </c>
      <c r="G301" s="16"/>
      <c r="H301" s="17">
        <v>5.5917159763313604</v>
      </c>
      <c r="I301" s="4" t="s">
        <v>253</v>
      </c>
      <c r="J301" s="4" t="s">
        <v>651</v>
      </c>
      <c r="K301" s="4"/>
      <c r="L301" s="4"/>
      <c r="M301" s="18" t="str">
        <f t="shared" ref="M301:M303" si="38">HYPERLINK("http://slimages.macys.com/is/image/MCY/19888253 ")</f>
        <v xml:space="preserve">http://slimages.macys.com/is/image/MCY/19888253 </v>
      </c>
      <c r="N301" s="19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6" t="s">
        <v>896</v>
      </c>
      <c r="B302" s="4" t="s">
        <v>897</v>
      </c>
      <c r="C302" s="3">
        <v>6</v>
      </c>
      <c r="D302" s="17">
        <v>8.99</v>
      </c>
      <c r="E302" s="3" t="s">
        <v>898</v>
      </c>
      <c r="F302" s="4" t="s">
        <v>30</v>
      </c>
      <c r="G302" s="16"/>
      <c r="H302" s="17">
        <v>5.5917159763313604</v>
      </c>
      <c r="I302" s="4" t="s">
        <v>253</v>
      </c>
      <c r="J302" s="4" t="s">
        <v>651</v>
      </c>
      <c r="K302" s="4"/>
      <c r="L302" s="4"/>
      <c r="M302" s="18" t="str">
        <f t="shared" si="38"/>
        <v xml:space="preserve">http://slimages.macys.com/is/image/MCY/19888253 </v>
      </c>
      <c r="N302" s="19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6" t="s">
        <v>902</v>
      </c>
      <c r="B303" s="4" t="s">
        <v>903</v>
      </c>
      <c r="C303" s="3">
        <v>1</v>
      </c>
      <c r="D303" s="17">
        <v>8.99</v>
      </c>
      <c r="E303" s="3" t="s">
        <v>904</v>
      </c>
      <c r="F303" s="4" t="s">
        <v>252</v>
      </c>
      <c r="G303" s="16"/>
      <c r="H303" s="17">
        <v>5.5917159763313604</v>
      </c>
      <c r="I303" s="4" t="s">
        <v>253</v>
      </c>
      <c r="J303" s="4" t="s">
        <v>651</v>
      </c>
      <c r="K303" s="4"/>
      <c r="L303" s="4"/>
      <c r="M303" s="18" t="str">
        <f t="shared" si="38"/>
        <v xml:space="preserve">http://slimages.macys.com/is/image/MCY/19888253 </v>
      </c>
      <c r="N303" s="19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6" t="s">
        <v>905</v>
      </c>
      <c r="B304" s="4" t="s">
        <v>906</v>
      </c>
      <c r="C304" s="3">
        <v>4</v>
      </c>
      <c r="D304" s="17">
        <v>10.99</v>
      </c>
      <c r="E304" s="3" t="s">
        <v>907</v>
      </c>
      <c r="F304" s="4"/>
      <c r="G304" s="16"/>
      <c r="H304" s="17">
        <v>4.6324260355029585</v>
      </c>
      <c r="I304" s="4" t="s">
        <v>356</v>
      </c>
      <c r="J304" s="4" t="s">
        <v>45</v>
      </c>
      <c r="K304" s="4"/>
      <c r="L304" s="4"/>
      <c r="M304" s="18" t="str">
        <f>HYPERLINK("http://slimages.macys.com/is/image/MCY/19729594 ")</f>
        <v xml:space="preserve">http://slimages.macys.com/is/image/MCY/19729594 </v>
      </c>
      <c r="N304" s="19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6" t="s">
        <v>908</v>
      </c>
      <c r="B305" s="4" t="s">
        <v>909</v>
      </c>
      <c r="C305" s="3">
        <v>1</v>
      </c>
      <c r="D305" s="17">
        <v>8.99</v>
      </c>
      <c r="E305" s="3" t="s">
        <v>910</v>
      </c>
      <c r="F305" s="4" t="s">
        <v>38</v>
      </c>
      <c r="G305" s="16" t="s">
        <v>911</v>
      </c>
      <c r="H305" s="17">
        <v>4.523076923076923</v>
      </c>
      <c r="I305" s="4" t="s">
        <v>630</v>
      </c>
      <c r="J305" s="4" t="s">
        <v>357</v>
      </c>
      <c r="K305" s="4" t="s">
        <v>33</v>
      </c>
      <c r="L305" s="4" t="s">
        <v>568</v>
      </c>
      <c r="M305" s="18" t="str">
        <f>HYPERLINK("http://slimages.macys.com/is/image/MCY/1451914 ")</f>
        <v xml:space="preserve">http://slimages.macys.com/is/image/MCY/1451914 </v>
      </c>
      <c r="N305" s="19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6" t="s">
        <v>912</v>
      </c>
      <c r="B306" s="4" t="s">
        <v>913</v>
      </c>
      <c r="C306" s="3">
        <v>2</v>
      </c>
      <c r="D306" s="17">
        <v>9.99</v>
      </c>
      <c r="E306" s="3" t="s">
        <v>914</v>
      </c>
      <c r="F306" s="4" t="s">
        <v>38</v>
      </c>
      <c r="G306" s="16" t="s">
        <v>915</v>
      </c>
      <c r="H306" s="17">
        <v>4.4733727810650885</v>
      </c>
      <c r="I306" s="4" t="s">
        <v>630</v>
      </c>
      <c r="J306" s="4" t="s">
        <v>916</v>
      </c>
      <c r="K306" s="4" t="s">
        <v>33</v>
      </c>
      <c r="L306" s="4"/>
      <c r="M306" s="18" t="str">
        <f>HYPERLINK("http://slimages.macys.com/is/image/MCY/9302300 ")</f>
        <v xml:space="preserve">http://slimages.macys.com/is/image/MCY/9302300 </v>
      </c>
      <c r="N306" s="19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6" t="s">
        <v>917</v>
      </c>
      <c r="B307" s="4" t="s">
        <v>918</v>
      </c>
      <c r="C307" s="3">
        <v>1</v>
      </c>
      <c r="D307" s="17">
        <v>11.99</v>
      </c>
      <c r="E307" s="3" t="s">
        <v>919</v>
      </c>
      <c r="F307" s="4" t="s">
        <v>38</v>
      </c>
      <c r="G307" s="16"/>
      <c r="H307" s="17">
        <v>4.4023668639053257</v>
      </c>
      <c r="I307" s="4" t="s">
        <v>64</v>
      </c>
      <c r="J307" s="4" t="s">
        <v>920</v>
      </c>
      <c r="K307" s="4"/>
      <c r="L307" s="4"/>
      <c r="M307" s="18" t="str">
        <f>HYPERLINK("http://slimages.macys.com/is/image/MCY/18831975 ")</f>
        <v xml:space="preserve">http://slimages.macys.com/is/image/MCY/18831975 </v>
      </c>
      <c r="N307" s="19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6" t="s">
        <v>921</v>
      </c>
      <c r="B308" s="4" t="s">
        <v>922</v>
      </c>
      <c r="C308" s="3">
        <v>1</v>
      </c>
      <c r="D308" s="17">
        <v>9.99</v>
      </c>
      <c r="E308" s="3">
        <v>30035</v>
      </c>
      <c r="F308" s="4" t="s">
        <v>38</v>
      </c>
      <c r="G308" s="16" t="s">
        <v>923</v>
      </c>
      <c r="H308" s="17">
        <v>3.7112426035502954</v>
      </c>
      <c r="I308" s="4" t="s">
        <v>64</v>
      </c>
      <c r="J308" s="4" t="s">
        <v>65</v>
      </c>
      <c r="K308" s="4"/>
      <c r="L308" s="4"/>
      <c r="M308" s="18" t="str">
        <f>HYPERLINK("http://slimages.macys.com/is/image/MCY/18561452 ")</f>
        <v xml:space="preserve">http://slimages.macys.com/is/image/MCY/18561452 </v>
      </c>
      <c r="N308" s="19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6" t="s">
        <v>924</v>
      </c>
      <c r="B309" s="4" t="s">
        <v>925</v>
      </c>
      <c r="C309" s="3">
        <v>1</v>
      </c>
      <c r="D309" s="17">
        <v>14.99</v>
      </c>
      <c r="E309" s="3" t="s">
        <v>926</v>
      </c>
      <c r="F309" s="4" t="s">
        <v>49</v>
      </c>
      <c r="G309" s="16" t="s">
        <v>131</v>
      </c>
      <c r="H309" s="17">
        <v>3.5207100591715972</v>
      </c>
      <c r="I309" s="4" t="s">
        <v>137</v>
      </c>
      <c r="J309" s="4" t="s">
        <v>208</v>
      </c>
      <c r="K309" s="4"/>
      <c r="L309" s="4"/>
      <c r="M309" s="18" t="str">
        <f>HYPERLINK("http://slimages.macys.com/is/image/MCY/19744587 ")</f>
        <v xml:space="preserve">http://slimages.macys.com/is/image/MCY/19744587 </v>
      </c>
      <c r="N309" s="19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6" t="s">
        <v>927</v>
      </c>
      <c r="B310" s="4" t="s">
        <v>928</v>
      </c>
      <c r="C310" s="3">
        <v>1</v>
      </c>
      <c r="D310" s="17">
        <v>9.99</v>
      </c>
      <c r="E310" s="3" t="s">
        <v>929</v>
      </c>
      <c r="F310" s="4" t="s">
        <v>38</v>
      </c>
      <c r="G310" s="16" t="s">
        <v>923</v>
      </c>
      <c r="H310" s="17">
        <v>3.493491124260355</v>
      </c>
      <c r="I310" s="4" t="s">
        <v>64</v>
      </c>
      <c r="J310" s="4" t="s">
        <v>930</v>
      </c>
      <c r="K310" s="4" t="s">
        <v>931</v>
      </c>
      <c r="L310" s="4" t="s">
        <v>932</v>
      </c>
      <c r="M310" s="18" t="str">
        <f>HYPERLINK("http://slimages.macys.com/is/image/MCY/12741094 ")</f>
        <v xml:space="preserve">http://slimages.macys.com/is/image/MCY/12741094 </v>
      </c>
      <c r="N310" s="19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6" t="s">
        <v>933</v>
      </c>
      <c r="B311" s="4" t="s">
        <v>934</v>
      </c>
      <c r="C311" s="3">
        <v>1</v>
      </c>
      <c r="D311" s="17">
        <v>9.99</v>
      </c>
      <c r="E311" s="3" t="s">
        <v>935</v>
      </c>
      <c r="F311" s="4" t="s">
        <v>116</v>
      </c>
      <c r="G311" s="16" t="s">
        <v>131</v>
      </c>
      <c r="H311" s="17">
        <v>3.2662721893491118</v>
      </c>
      <c r="I311" s="4" t="s">
        <v>44</v>
      </c>
      <c r="J311" s="4" t="s">
        <v>316</v>
      </c>
      <c r="K311" s="4"/>
      <c r="L311" s="4"/>
      <c r="M311" s="18" t="str">
        <f t="shared" ref="M311:M312" si="39">HYPERLINK("http://slimages.macys.com/is/image/MCY/18989546 ")</f>
        <v xml:space="preserve">http://slimages.macys.com/is/image/MCY/18989546 </v>
      </c>
      <c r="N311" s="19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6" t="s">
        <v>933</v>
      </c>
      <c r="B312" s="4" t="s">
        <v>934</v>
      </c>
      <c r="C312" s="3">
        <v>2</v>
      </c>
      <c r="D312" s="17">
        <v>9.99</v>
      </c>
      <c r="E312" s="3" t="s">
        <v>935</v>
      </c>
      <c r="F312" s="4" t="s">
        <v>116</v>
      </c>
      <c r="G312" s="16" t="s">
        <v>131</v>
      </c>
      <c r="H312" s="17">
        <v>3.2662721893491118</v>
      </c>
      <c r="I312" s="4" t="s">
        <v>44</v>
      </c>
      <c r="J312" s="4" t="s">
        <v>316</v>
      </c>
      <c r="K312" s="4"/>
      <c r="L312" s="4"/>
      <c r="M312" s="18" t="str">
        <f t="shared" si="39"/>
        <v xml:space="preserve">http://slimages.macys.com/is/image/MCY/18989546 </v>
      </c>
      <c r="N312" s="19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6" t="s">
        <v>936</v>
      </c>
      <c r="B313" s="4" t="s">
        <v>937</v>
      </c>
      <c r="C313" s="3">
        <v>2</v>
      </c>
      <c r="D313" s="17">
        <v>9.99</v>
      </c>
      <c r="E313" s="3" t="s">
        <v>938</v>
      </c>
      <c r="F313" s="4" t="s">
        <v>72</v>
      </c>
      <c r="G313" s="16"/>
      <c r="H313" s="17">
        <v>3.2189349112426036</v>
      </c>
      <c r="I313" s="4" t="s">
        <v>44</v>
      </c>
      <c r="J313" s="4" t="s">
        <v>316</v>
      </c>
      <c r="K313" s="4"/>
      <c r="L313" s="4"/>
      <c r="M313" s="18" t="str">
        <f>HYPERLINK("http://slimages.macys.com/is/image/MCY/17995889 ")</f>
        <v xml:space="preserve">http://slimages.macys.com/is/image/MCY/17995889 </v>
      </c>
      <c r="N313" s="19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6" t="s">
        <v>939</v>
      </c>
      <c r="B314" s="4" t="s">
        <v>940</v>
      </c>
      <c r="C314" s="3">
        <v>3</v>
      </c>
      <c r="D314" s="17">
        <v>6.99</v>
      </c>
      <c r="E314" s="3" t="s">
        <v>941</v>
      </c>
      <c r="F314" s="4" t="s">
        <v>942</v>
      </c>
      <c r="G314" s="16"/>
      <c r="H314" s="17">
        <v>2.9723076923076923</v>
      </c>
      <c r="I314" s="4" t="s">
        <v>630</v>
      </c>
      <c r="J314" s="4" t="s">
        <v>631</v>
      </c>
      <c r="K314" s="4"/>
      <c r="L314" s="4"/>
      <c r="M314" s="18" t="str">
        <f>HYPERLINK("http://slimages.macys.com/is/image/MCY/19690337 ")</f>
        <v xml:space="preserve">http://slimages.macys.com/is/image/MCY/19690337 </v>
      </c>
      <c r="N314" s="19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6" t="s">
        <v>943</v>
      </c>
      <c r="B315" s="4" t="s">
        <v>944</v>
      </c>
      <c r="C315" s="3">
        <v>1</v>
      </c>
      <c r="D315" s="17">
        <v>6.99</v>
      </c>
      <c r="E315" s="3" t="s">
        <v>945</v>
      </c>
      <c r="F315" s="4" t="s">
        <v>30</v>
      </c>
      <c r="G315" s="16"/>
      <c r="H315" s="17">
        <v>2.9723076923076923</v>
      </c>
      <c r="I315" s="4" t="s">
        <v>630</v>
      </c>
      <c r="J315" s="4" t="s">
        <v>631</v>
      </c>
      <c r="K315" s="4"/>
      <c r="L315" s="4"/>
      <c r="M315" s="18" t="str">
        <f>HYPERLINK("http://slimages.macys.com/is/image/MCY/19690345 ")</f>
        <v xml:space="preserve">http://slimages.macys.com/is/image/MCY/19690345 </v>
      </c>
      <c r="N315" s="19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6" t="s">
        <v>946</v>
      </c>
      <c r="B316" s="4" t="s">
        <v>947</v>
      </c>
      <c r="C316" s="3">
        <v>2</v>
      </c>
      <c r="D316" s="17">
        <v>5.99</v>
      </c>
      <c r="E316" s="3" t="s">
        <v>948</v>
      </c>
      <c r="F316" s="4" t="s">
        <v>38</v>
      </c>
      <c r="G316" s="16" t="s">
        <v>915</v>
      </c>
      <c r="H316" s="17">
        <v>2.6343195266272188</v>
      </c>
      <c r="I316" s="4" t="s">
        <v>630</v>
      </c>
      <c r="J316" s="4" t="s">
        <v>916</v>
      </c>
      <c r="K316" s="4" t="s">
        <v>33</v>
      </c>
      <c r="L316" s="4" t="s">
        <v>949</v>
      </c>
      <c r="M316" s="18" t="str">
        <f t="shared" ref="M316:M317" si="40">HYPERLINK("http://slimages.macys.com/is/image/MCY/11436005 ")</f>
        <v xml:space="preserve">http://slimages.macys.com/is/image/MCY/11436005 </v>
      </c>
      <c r="N316" s="19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6" t="s">
        <v>950</v>
      </c>
      <c r="B317" s="4" t="s">
        <v>951</v>
      </c>
      <c r="C317" s="3">
        <v>1</v>
      </c>
      <c r="D317" s="17">
        <v>5.99</v>
      </c>
      <c r="E317" s="3" t="s">
        <v>948</v>
      </c>
      <c r="F317" s="4" t="s">
        <v>43</v>
      </c>
      <c r="G317" s="16" t="s">
        <v>915</v>
      </c>
      <c r="H317" s="17">
        <v>2.6343195266272188</v>
      </c>
      <c r="I317" s="4" t="s">
        <v>630</v>
      </c>
      <c r="J317" s="4" t="s">
        <v>916</v>
      </c>
      <c r="K317" s="4" t="s">
        <v>33</v>
      </c>
      <c r="L317" s="4" t="s">
        <v>949</v>
      </c>
      <c r="M317" s="18" t="str">
        <f t="shared" si="40"/>
        <v xml:space="preserve">http://slimages.macys.com/is/image/MCY/11436005 </v>
      </c>
      <c r="N317" s="19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6" t="s">
        <v>952</v>
      </c>
      <c r="B318" s="4" t="s">
        <v>953</v>
      </c>
      <c r="C318" s="3">
        <v>6</v>
      </c>
      <c r="D318" s="17">
        <v>5.99</v>
      </c>
      <c r="E318" s="3" t="s">
        <v>954</v>
      </c>
      <c r="F318" s="4" t="s">
        <v>30</v>
      </c>
      <c r="G318" s="16" t="s">
        <v>823</v>
      </c>
      <c r="H318" s="17">
        <v>2.6144378698224848</v>
      </c>
      <c r="I318" s="4" t="s">
        <v>630</v>
      </c>
      <c r="J318" s="4" t="s">
        <v>45</v>
      </c>
      <c r="K318" s="4"/>
      <c r="L318" s="4"/>
      <c r="M318" s="18" t="str">
        <f t="shared" ref="M318:M319" si="41">HYPERLINK("http://slimages.macys.com/is/image/MCY/18912676 ")</f>
        <v xml:space="preserve">http://slimages.macys.com/is/image/MCY/18912676 </v>
      </c>
      <c r="N318" s="19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6" t="s">
        <v>955</v>
      </c>
      <c r="B319" s="4" t="s">
        <v>956</v>
      </c>
      <c r="C319" s="3">
        <v>1</v>
      </c>
      <c r="D319" s="17">
        <v>5.99</v>
      </c>
      <c r="E319" s="3" t="s">
        <v>957</v>
      </c>
      <c r="F319" s="4" t="s">
        <v>49</v>
      </c>
      <c r="G319" s="16" t="s">
        <v>823</v>
      </c>
      <c r="H319" s="17">
        <v>2.6144378698224848</v>
      </c>
      <c r="I319" s="4" t="s">
        <v>630</v>
      </c>
      <c r="J319" s="4" t="s">
        <v>45</v>
      </c>
      <c r="K319" s="4"/>
      <c r="L319" s="4"/>
      <c r="M319" s="18" t="str">
        <f t="shared" si="41"/>
        <v xml:space="preserve">http://slimages.macys.com/is/image/MCY/18912676 </v>
      </c>
      <c r="N319" s="19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6" t="s">
        <v>958</v>
      </c>
      <c r="B320" s="4" t="s">
        <v>959</v>
      </c>
      <c r="C320" s="3">
        <v>3</v>
      </c>
      <c r="D320" s="17">
        <v>6.99</v>
      </c>
      <c r="E320" s="3" t="s">
        <v>960</v>
      </c>
      <c r="F320" s="4" t="s">
        <v>961</v>
      </c>
      <c r="G320" s="16" t="s">
        <v>823</v>
      </c>
      <c r="H320" s="17">
        <v>2.4355029585798813</v>
      </c>
      <c r="I320" s="4" t="s">
        <v>630</v>
      </c>
      <c r="J320" s="4" t="s">
        <v>962</v>
      </c>
      <c r="K320" s="4"/>
      <c r="L320" s="4"/>
      <c r="M320" s="18" t="str">
        <f>HYPERLINK("http://slimages.macys.com/is/image/MCY/19685034 ")</f>
        <v xml:space="preserve">http://slimages.macys.com/is/image/MCY/19685034 </v>
      </c>
      <c r="N320" s="19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6" t="s">
        <v>963</v>
      </c>
      <c r="B321" s="4" t="s">
        <v>964</v>
      </c>
      <c r="C321" s="3">
        <v>7</v>
      </c>
      <c r="D321" s="17">
        <v>9.99</v>
      </c>
      <c r="E321" s="3" t="s">
        <v>965</v>
      </c>
      <c r="F321" s="4" t="s">
        <v>82</v>
      </c>
      <c r="G321" s="16" t="s">
        <v>915</v>
      </c>
      <c r="H321" s="17">
        <v>2.3559763313609468</v>
      </c>
      <c r="I321" s="4" t="s">
        <v>556</v>
      </c>
      <c r="J321" s="4" t="s">
        <v>966</v>
      </c>
      <c r="K321" s="4" t="s">
        <v>33</v>
      </c>
      <c r="L321" s="4" t="s">
        <v>39</v>
      </c>
      <c r="M321" s="18" t="str">
        <f t="shared" ref="M321:M325" si="42">HYPERLINK("http://slimages.macys.com/is/image/MCY/13399802 ")</f>
        <v xml:space="preserve">http://slimages.macys.com/is/image/MCY/13399802 </v>
      </c>
      <c r="N321" s="19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6" t="s">
        <v>967</v>
      </c>
      <c r="B322" s="4" t="s">
        <v>968</v>
      </c>
      <c r="C322" s="3">
        <v>4</v>
      </c>
      <c r="D322" s="17">
        <v>9.99</v>
      </c>
      <c r="E322" s="3" t="s">
        <v>969</v>
      </c>
      <c r="F322" s="4" t="s">
        <v>30</v>
      </c>
      <c r="G322" s="16" t="s">
        <v>915</v>
      </c>
      <c r="H322" s="17">
        <v>2.3559763313609468</v>
      </c>
      <c r="I322" s="4" t="s">
        <v>556</v>
      </c>
      <c r="J322" s="4" t="s">
        <v>966</v>
      </c>
      <c r="K322" s="4" t="s">
        <v>33</v>
      </c>
      <c r="L322" s="4" t="s">
        <v>39</v>
      </c>
      <c r="M322" s="18" t="str">
        <f t="shared" si="42"/>
        <v xml:space="preserve">http://slimages.macys.com/is/image/MCY/13399802 </v>
      </c>
      <c r="N322" s="19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6" t="s">
        <v>963</v>
      </c>
      <c r="B323" s="4" t="s">
        <v>964</v>
      </c>
      <c r="C323" s="3">
        <v>1</v>
      </c>
      <c r="D323" s="17">
        <v>9.99</v>
      </c>
      <c r="E323" s="3" t="s">
        <v>965</v>
      </c>
      <c r="F323" s="4" t="s">
        <v>82</v>
      </c>
      <c r="G323" s="16" t="s">
        <v>915</v>
      </c>
      <c r="H323" s="17">
        <v>2.3559763313609468</v>
      </c>
      <c r="I323" s="4" t="s">
        <v>556</v>
      </c>
      <c r="J323" s="4" t="s">
        <v>966</v>
      </c>
      <c r="K323" s="4" t="s">
        <v>33</v>
      </c>
      <c r="L323" s="4" t="s">
        <v>39</v>
      </c>
      <c r="M323" s="18" t="str">
        <f t="shared" si="42"/>
        <v xml:space="preserve">http://slimages.macys.com/is/image/MCY/13399802 </v>
      </c>
      <c r="N323" s="19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6" t="s">
        <v>967</v>
      </c>
      <c r="B324" s="4" t="s">
        <v>968</v>
      </c>
      <c r="C324" s="3">
        <v>7</v>
      </c>
      <c r="D324" s="17">
        <v>9.99</v>
      </c>
      <c r="E324" s="3" t="s">
        <v>969</v>
      </c>
      <c r="F324" s="4" t="s">
        <v>30</v>
      </c>
      <c r="G324" s="16" t="s">
        <v>915</v>
      </c>
      <c r="H324" s="17">
        <v>2.3559763313609468</v>
      </c>
      <c r="I324" s="4" t="s">
        <v>556</v>
      </c>
      <c r="J324" s="4" t="s">
        <v>966</v>
      </c>
      <c r="K324" s="4" t="s">
        <v>33</v>
      </c>
      <c r="L324" s="4" t="s">
        <v>39</v>
      </c>
      <c r="M324" s="18" t="str">
        <f t="shared" si="42"/>
        <v xml:space="preserve">http://slimages.macys.com/is/image/MCY/13399802 </v>
      </c>
      <c r="N324" s="19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6" t="s">
        <v>970</v>
      </c>
      <c r="B325" s="4" t="s">
        <v>971</v>
      </c>
      <c r="C325" s="3">
        <v>1</v>
      </c>
      <c r="D325" s="17">
        <v>9.99</v>
      </c>
      <c r="E325" s="3" t="s">
        <v>972</v>
      </c>
      <c r="F325" s="4" t="s">
        <v>506</v>
      </c>
      <c r="G325" s="16" t="s">
        <v>915</v>
      </c>
      <c r="H325" s="17">
        <v>2.3559763313609468</v>
      </c>
      <c r="I325" s="4" t="s">
        <v>556</v>
      </c>
      <c r="J325" s="4" t="s">
        <v>966</v>
      </c>
      <c r="K325" s="4" t="s">
        <v>33</v>
      </c>
      <c r="L325" s="4" t="s">
        <v>39</v>
      </c>
      <c r="M325" s="18" t="str">
        <f t="shared" si="42"/>
        <v xml:space="preserve">http://slimages.macys.com/is/image/MCY/13399802 </v>
      </c>
      <c r="N325" s="19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6" t="s">
        <v>973</v>
      </c>
      <c r="B326" s="4" t="s">
        <v>974</v>
      </c>
      <c r="C326" s="3">
        <v>1</v>
      </c>
      <c r="D326" s="17">
        <v>7.99</v>
      </c>
      <c r="E326" s="3" t="s">
        <v>975</v>
      </c>
      <c r="F326" s="4" t="s">
        <v>72</v>
      </c>
      <c r="G326" s="16"/>
      <c r="H326" s="17">
        <v>2.2565680473372782</v>
      </c>
      <c r="I326" s="4" t="s">
        <v>630</v>
      </c>
      <c r="J326" s="4" t="s">
        <v>976</v>
      </c>
      <c r="K326" s="4" t="s">
        <v>33</v>
      </c>
      <c r="L326" s="4" t="s">
        <v>977</v>
      </c>
      <c r="M326" s="18" t="str">
        <f>HYPERLINK("http://slimages.macys.com/is/image/MCY/15893113 ")</f>
        <v xml:space="preserve">http://slimages.macys.com/is/image/MCY/15893113 </v>
      </c>
      <c r="N326" s="19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6" t="s">
        <v>978</v>
      </c>
      <c r="B327" s="4" t="s">
        <v>979</v>
      </c>
      <c r="C327" s="3">
        <v>4</v>
      </c>
      <c r="D327" s="17">
        <v>7.99</v>
      </c>
      <c r="E327" s="3">
        <v>1008705100</v>
      </c>
      <c r="F327" s="4" t="s">
        <v>82</v>
      </c>
      <c r="G327" s="16" t="s">
        <v>915</v>
      </c>
      <c r="H327" s="17">
        <v>2.0478106508875737</v>
      </c>
      <c r="I327" s="4" t="s">
        <v>556</v>
      </c>
      <c r="J327" s="4" t="s">
        <v>966</v>
      </c>
      <c r="K327" s="4" t="s">
        <v>33</v>
      </c>
      <c r="L327" s="4" t="s">
        <v>980</v>
      </c>
      <c r="M327" s="18" t="str">
        <f>HYPERLINK("http://slimages.macys.com/is/image/MCY/16025875 ")</f>
        <v xml:space="preserve">http://slimages.macys.com/is/image/MCY/16025875 </v>
      </c>
      <c r="N327" s="19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6" t="s">
        <v>981</v>
      </c>
      <c r="B328" s="4" t="s">
        <v>982</v>
      </c>
      <c r="C328" s="3">
        <v>2</v>
      </c>
      <c r="D328" s="17">
        <v>9.99</v>
      </c>
      <c r="E328" s="3" t="s">
        <v>983</v>
      </c>
      <c r="F328" s="4" t="s">
        <v>60</v>
      </c>
      <c r="G328" s="16"/>
      <c r="H328" s="17">
        <v>2.0071005917159761</v>
      </c>
      <c r="I328" s="4" t="s">
        <v>44</v>
      </c>
      <c r="J328" s="4" t="s">
        <v>592</v>
      </c>
      <c r="K328" s="4"/>
      <c r="L328" s="4"/>
      <c r="M328" s="18" t="str">
        <f t="shared" ref="M328:M330" si="43">HYPERLINK("http://slimages.macys.com/is/image/MCY/18614219 ")</f>
        <v xml:space="preserve">http://slimages.macys.com/is/image/MCY/18614219 </v>
      </c>
      <c r="N328" s="19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6" t="s">
        <v>984</v>
      </c>
      <c r="B329" s="4" t="s">
        <v>985</v>
      </c>
      <c r="C329" s="3">
        <v>1</v>
      </c>
      <c r="D329" s="17">
        <v>9.99</v>
      </c>
      <c r="E329" s="3" t="s">
        <v>986</v>
      </c>
      <c r="F329" s="4" t="s">
        <v>987</v>
      </c>
      <c r="G329" s="16"/>
      <c r="H329" s="17">
        <v>2.0071005917159761</v>
      </c>
      <c r="I329" s="4" t="s">
        <v>44</v>
      </c>
      <c r="J329" s="4" t="s">
        <v>592</v>
      </c>
      <c r="K329" s="4"/>
      <c r="L329" s="4"/>
      <c r="M329" s="18" t="str">
        <f t="shared" si="43"/>
        <v xml:space="preserve">http://slimages.macys.com/is/image/MCY/18614219 </v>
      </c>
      <c r="N329" s="19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6" t="s">
        <v>981</v>
      </c>
      <c r="B330" s="4" t="s">
        <v>982</v>
      </c>
      <c r="C330" s="3">
        <v>6</v>
      </c>
      <c r="D330" s="17">
        <v>9.99</v>
      </c>
      <c r="E330" s="3" t="s">
        <v>983</v>
      </c>
      <c r="F330" s="4" t="s">
        <v>60</v>
      </c>
      <c r="G330" s="16"/>
      <c r="H330" s="17">
        <v>2.0071005917159761</v>
      </c>
      <c r="I330" s="4" t="s">
        <v>44</v>
      </c>
      <c r="J330" s="4" t="s">
        <v>592</v>
      </c>
      <c r="K330" s="4"/>
      <c r="L330" s="4"/>
      <c r="M330" s="18" t="str">
        <f t="shared" si="43"/>
        <v xml:space="preserve">http://slimages.macys.com/is/image/MCY/18614219 </v>
      </c>
      <c r="N330" s="19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6" t="s">
        <v>988</v>
      </c>
      <c r="B331" s="4" t="s">
        <v>989</v>
      </c>
      <c r="C331" s="3">
        <v>1</v>
      </c>
      <c r="D331" s="17">
        <v>4.99</v>
      </c>
      <c r="E331" s="3" t="s">
        <v>990</v>
      </c>
      <c r="F331" s="4" t="s">
        <v>942</v>
      </c>
      <c r="G331" s="16" t="s">
        <v>915</v>
      </c>
      <c r="H331" s="17">
        <v>1.978224852071006</v>
      </c>
      <c r="I331" s="4" t="s">
        <v>630</v>
      </c>
      <c r="J331" s="4" t="s">
        <v>631</v>
      </c>
      <c r="K331" s="4"/>
      <c r="L331" s="4"/>
      <c r="M331" s="18" t="str">
        <f>HYPERLINK("http://slimages.macys.com/is/image/MCY/19690338 ")</f>
        <v xml:space="preserve">http://slimages.macys.com/is/image/MCY/19690338 </v>
      </c>
      <c r="N331" s="19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6" t="s">
        <v>991</v>
      </c>
      <c r="B332" s="4" t="s">
        <v>992</v>
      </c>
      <c r="C332" s="3">
        <v>1</v>
      </c>
      <c r="D332" s="17">
        <v>4.99</v>
      </c>
      <c r="E332" s="3" t="s">
        <v>993</v>
      </c>
      <c r="F332" s="4" t="s">
        <v>775</v>
      </c>
      <c r="G332" s="16" t="s">
        <v>915</v>
      </c>
      <c r="H332" s="17">
        <v>1.7992899408284022</v>
      </c>
      <c r="I332" s="4" t="s">
        <v>630</v>
      </c>
      <c r="J332" s="4" t="s">
        <v>45</v>
      </c>
      <c r="K332" s="4"/>
      <c r="L332" s="4"/>
      <c r="M332" s="18" t="str">
        <f>HYPERLINK("http://slimages.macys.com/is/image/MCY/18912771 ")</f>
        <v xml:space="preserve">http://slimages.macys.com/is/image/MCY/18912771 </v>
      </c>
      <c r="N332" s="19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6" t="s">
        <v>994</v>
      </c>
      <c r="B333" s="4" t="s">
        <v>995</v>
      </c>
      <c r="C333" s="3">
        <v>1</v>
      </c>
      <c r="D333" s="17">
        <v>6.99</v>
      </c>
      <c r="E333" s="3">
        <v>1008704600</v>
      </c>
      <c r="F333" s="4" t="s">
        <v>333</v>
      </c>
      <c r="G333" s="16" t="s">
        <v>915</v>
      </c>
      <c r="H333" s="17">
        <v>1.7893491124260354</v>
      </c>
      <c r="I333" s="4" t="s">
        <v>556</v>
      </c>
      <c r="J333" s="4" t="s">
        <v>249</v>
      </c>
      <c r="K333" s="4" t="s">
        <v>33</v>
      </c>
      <c r="L333" s="4" t="s">
        <v>980</v>
      </c>
      <c r="M333" s="18" t="str">
        <f>HYPERLINK("http://slimages.macys.com/is/image/MCY/15896057 ")</f>
        <v xml:space="preserve">http://slimages.macys.com/is/image/MCY/15896057 </v>
      </c>
      <c r="N333" s="19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6" t="s">
        <v>996</v>
      </c>
      <c r="B334" s="4" t="s">
        <v>997</v>
      </c>
      <c r="C334" s="3">
        <v>1</v>
      </c>
      <c r="D334" s="17">
        <v>6.99</v>
      </c>
      <c r="E334" s="3">
        <v>1006097200</v>
      </c>
      <c r="F334" s="4" t="s">
        <v>987</v>
      </c>
      <c r="G334" s="16" t="s">
        <v>915</v>
      </c>
      <c r="H334" s="17">
        <v>1.6501775147928996</v>
      </c>
      <c r="I334" s="4" t="s">
        <v>556</v>
      </c>
      <c r="J334" s="4" t="s">
        <v>249</v>
      </c>
      <c r="K334" s="4" t="s">
        <v>33</v>
      </c>
      <c r="L334" s="4" t="s">
        <v>980</v>
      </c>
      <c r="M334" s="18" t="str">
        <f t="shared" ref="M334:M335" si="44">HYPERLINK("http://slimages.macys.com/is/image/MCY/14321125 ")</f>
        <v xml:space="preserve">http://slimages.macys.com/is/image/MCY/14321125 </v>
      </c>
      <c r="N334" s="19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6" t="s">
        <v>996</v>
      </c>
      <c r="B335" s="4" t="s">
        <v>997</v>
      </c>
      <c r="C335" s="3">
        <v>8</v>
      </c>
      <c r="D335" s="17">
        <v>6.99</v>
      </c>
      <c r="E335" s="3">
        <v>1006097200</v>
      </c>
      <c r="F335" s="4" t="s">
        <v>987</v>
      </c>
      <c r="G335" s="16" t="s">
        <v>915</v>
      </c>
      <c r="H335" s="17">
        <v>1.6501775147928996</v>
      </c>
      <c r="I335" s="4" t="s">
        <v>556</v>
      </c>
      <c r="J335" s="4" t="s">
        <v>249</v>
      </c>
      <c r="K335" s="4" t="s">
        <v>33</v>
      </c>
      <c r="L335" s="4" t="s">
        <v>980</v>
      </c>
      <c r="M335" s="18" t="str">
        <f t="shared" si="44"/>
        <v xml:space="preserve">http://slimages.macys.com/is/image/MCY/14321125 </v>
      </c>
      <c r="N335" s="19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6" t="s">
        <v>998</v>
      </c>
      <c r="B336" s="4" t="s">
        <v>999</v>
      </c>
      <c r="C336" s="3">
        <v>1</v>
      </c>
      <c r="D336" s="17">
        <v>7.99</v>
      </c>
      <c r="E336" s="3" t="s">
        <v>1000</v>
      </c>
      <c r="F336" s="4" t="s">
        <v>258</v>
      </c>
      <c r="G336" s="16" t="s">
        <v>915</v>
      </c>
      <c r="H336" s="17">
        <v>1.6004733727810652</v>
      </c>
      <c r="I336" s="4" t="s">
        <v>556</v>
      </c>
      <c r="J336" s="4" t="s">
        <v>966</v>
      </c>
      <c r="K336" s="4" t="s">
        <v>33</v>
      </c>
      <c r="L336" s="4" t="s">
        <v>39</v>
      </c>
      <c r="M336" s="18" t="str">
        <f>HYPERLINK("http://slimages.macys.com/is/image/MCY/12737732 ")</f>
        <v xml:space="preserve">http://slimages.macys.com/is/image/MCY/12737732 </v>
      </c>
      <c r="N336" s="19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6" t="s">
        <v>1001</v>
      </c>
      <c r="B337" s="4" t="s">
        <v>1002</v>
      </c>
      <c r="C337" s="3">
        <v>2</v>
      </c>
      <c r="D337" s="17">
        <v>2.99</v>
      </c>
      <c r="E337" s="3" t="s">
        <v>1003</v>
      </c>
      <c r="F337" s="4" t="s">
        <v>235</v>
      </c>
      <c r="G337" s="16" t="s">
        <v>823</v>
      </c>
      <c r="H337" s="17">
        <v>1.1829585798816569</v>
      </c>
      <c r="I337" s="4" t="s">
        <v>630</v>
      </c>
      <c r="J337" s="4" t="s">
        <v>254</v>
      </c>
      <c r="K337" s="4" t="s">
        <v>33</v>
      </c>
      <c r="L337" s="4"/>
      <c r="M337" s="18" t="str">
        <f>HYPERLINK("http://slimages.macys.com/is/image/MCY/13909832 ")</f>
        <v xml:space="preserve">http://slimages.macys.com/is/image/MCY/13909832 </v>
      </c>
      <c r="N337" s="19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6" t="s">
        <v>1004</v>
      </c>
      <c r="B338" s="4" t="s">
        <v>1005</v>
      </c>
      <c r="C338" s="3">
        <v>1</v>
      </c>
      <c r="D338" s="17">
        <v>2.99</v>
      </c>
      <c r="E338" s="3" t="s">
        <v>1006</v>
      </c>
      <c r="F338" s="4" t="s">
        <v>49</v>
      </c>
      <c r="G338" s="16" t="s">
        <v>823</v>
      </c>
      <c r="H338" s="17">
        <v>0.90461538461538449</v>
      </c>
      <c r="I338" s="4" t="s">
        <v>630</v>
      </c>
      <c r="J338" s="4" t="s">
        <v>1007</v>
      </c>
      <c r="K338" s="4"/>
      <c r="L338" s="4"/>
      <c r="M338" s="18" t="str">
        <f>HYPERLINK("http://slimages.macys.com/is/image/MCY/18145997 ")</f>
        <v xml:space="preserve">http://slimages.macys.com/is/image/MCY/18145997 </v>
      </c>
      <c r="N338" s="19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6" t="s">
        <v>1008</v>
      </c>
      <c r="B339" s="4" t="s">
        <v>1009</v>
      </c>
      <c r="C339" s="3">
        <v>1</v>
      </c>
      <c r="D339" s="17">
        <v>159.99</v>
      </c>
      <c r="E339" s="3" t="s">
        <v>1010</v>
      </c>
      <c r="F339" s="4" t="s">
        <v>38</v>
      </c>
      <c r="G339" s="16" t="s">
        <v>121</v>
      </c>
      <c r="H339" s="17">
        <v>68.478106508875726</v>
      </c>
      <c r="I339" s="4" t="s">
        <v>64</v>
      </c>
      <c r="J339" s="4" t="s">
        <v>241</v>
      </c>
      <c r="K339" s="4"/>
      <c r="L339" s="4"/>
      <c r="M339" s="18"/>
      <c r="N339" s="19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6" t="s">
        <v>1011</v>
      </c>
      <c r="B340" s="4" t="s">
        <v>1012</v>
      </c>
      <c r="C340" s="3">
        <v>1</v>
      </c>
      <c r="D340" s="17">
        <v>109.99</v>
      </c>
      <c r="E340" s="3" t="s">
        <v>1013</v>
      </c>
      <c r="F340" s="4" t="s">
        <v>116</v>
      </c>
      <c r="G340" s="16"/>
      <c r="H340" s="17">
        <v>42.621301775147927</v>
      </c>
      <c r="I340" s="4" t="s">
        <v>55</v>
      </c>
      <c r="J340" s="4" t="s">
        <v>45</v>
      </c>
      <c r="K340" s="4"/>
      <c r="L340" s="4"/>
      <c r="M340" s="18"/>
      <c r="N340" s="19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6" t="s">
        <v>1014</v>
      </c>
      <c r="B341" s="4" t="s">
        <v>1015</v>
      </c>
      <c r="C341" s="3">
        <v>1</v>
      </c>
      <c r="D341" s="17">
        <v>166.99</v>
      </c>
      <c r="E341" s="3" t="s">
        <v>1016</v>
      </c>
      <c r="F341" s="4" t="s">
        <v>102</v>
      </c>
      <c r="G341" s="16"/>
      <c r="H341" s="17">
        <v>35.306508875739645</v>
      </c>
      <c r="I341" s="4" t="s">
        <v>55</v>
      </c>
      <c r="J341" s="4" t="s">
        <v>45</v>
      </c>
      <c r="K341" s="4"/>
      <c r="L341" s="4"/>
      <c r="M341" s="18"/>
      <c r="N341" s="19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6" t="s">
        <v>1017</v>
      </c>
      <c r="B342" s="4" t="s">
        <v>1018</v>
      </c>
      <c r="C342" s="3">
        <v>1</v>
      </c>
      <c r="D342" s="17">
        <v>204.99</v>
      </c>
      <c r="E342" s="3" t="s">
        <v>1019</v>
      </c>
      <c r="F342" s="4" t="s">
        <v>30</v>
      </c>
      <c r="G342" s="16"/>
      <c r="H342" s="17">
        <v>33.699408284023662</v>
      </c>
      <c r="I342" s="4" t="s">
        <v>55</v>
      </c>
      <c r="J342" s="4" t="s">
        <v>45</v>
      </c>
      <c r="K342" s="4"/>
      <c r="L342" s="4"/>
      <c r="M342" s="18"/>
      <c r="N342" s="19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6" t="s">
        <v>1020</v>
      </c>
      <c r="B343" s="4" t="s">
        <v>1021</v>
      </c>
      <c r="C343" s="3">
        <v>1</v>
      </c>
      <c r="D343" s="17">
        <v>86.99</v>
      </c>
      <c r="E343" s="3" t="s">
        <v>1022</v>
      </c>
      <c r="F343" s="4" t="s">
        <v>30</v>
      </c>
      <c r="G343" s="16" t="s">
        <v>207</v>
      </c>
      <c r="H343" s="17">
        <v>32.142011834319526</v>
      </c>
      <c r="I343" s="4" t="s">
        <v>55</v>
      </c>
      <c r="J343" s="4" t="s">
        <v>208</v>
      </c>
      <c r="K343" s="4"/>
      <c r="L343" s="4"/>
      <c r="M343" s="18"/>
      <c r="N343" s="19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6" t="s">
        <v>1023</v>
      </c>
      <c r="B344" s="4" t="s">
        <v>1024</v>
      </c>
      <c r="C344" s="3">
        <v>1</v>
      </c>
      <c r="D344" s="17">
        <v>82.99</v>
      </c>
      <c r="E344" s="3" t="s">
        <v>1025</v>
      </c>
      <c r="F344" s="4" t="s">
        <v>605</v>
      </c>
      <c r="G344" s="16" t="s">
        <v>1026</v>
      </c>
      <c r="H344" s="17">
        <v>30.642603550295853</v>
      </c>
      <c r="I344" s="4" t="s">
        <v>55</v>
      </c>
      <c r="J344" s="4" t="s">
        <v>208</v>
      </c>
      <c r="K344" s="4"/>
      <c r="L344" s="4"/>
      <c r="M344" s="18"/>
      <c r="N344" s="19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6" t="s">
        <v>1027</v>
      </c>
      <c r="B345" s="4" t="s">
        <v>1028</v>
      </c>
      <c r="C345" s="3">
        <v>1</v>
      </c>
      <c r="D345" s="17">
        <v>154.99</v>
      </c>
      <c r="E345" s="3" t="s">
        <v>1029</v>
      </c>
      <c r="F345" s="4" t="s">
        <v>775</v>
      </c>
      <c r="G345" s="16"/>
      <c r="H345" s="17">
        <v>30.410650887573958</v>
      </c>
      <c r="I345" s="4" t="s">
        <v>55</v>
      </c>
      <c r="J345" s="4" t="s">
        <v>45</v>
      </c>
      <c r="K345" s="4"/>
      <c r="L345" s="4"/>
      <c r="M345" s="18"/>
      <c r="N345" s="19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6" t="s">
        <v>1030</v>
      </c>
      <c r="B346" s="4" t="s">
        <v>1031</v>
      </c>
      <c r="C346" s="3">
        <v>1</v>
      </c>
      <c r="D346" s="17">
        <v>166.99</v>
      </c>
      <c r="E346" s="3" t="s">
        <v>1032</v>
      </c>
      <c r="F346" s="4" t="s">
        <v>102</v>
      </c>
      <c r="G346" s="16"/>
      <c r="H346" s="17">
        <v>30.153846153846153</v>
      </c>
      <c r="I346" s="4" t="s">
        <v>55</v>
      </c>
      <c r="J346" s="4" t="s">
        <v>45</v>
      </c>
      <c r="K346" s="4"/>
      <c r="L346" s="4"/>
      <c r="M346" s="18"/>
      <c r="N346" s="19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6" t="s">
        <v>1033</v>
      </c>
      <c r="B347" s="4" t="s">
        <v>1034</v>
      </c>
      <c r="C347" s="3">
        <v>1</v>
      </c>
      <c r="D347" s="17">
        <v>69.989999999999995</v>
      </c>
      <c r="E347" s="3" t="s">
        <v>1035</v>
      </c>
      <c r="F347" s="4" t="s">
        <v>1036</v>
      </c>
      <c r="G347" s="16"/>
      <c r="H347" s="17">
        <v>23.327810650887571</v>
      </c>
      <c r="I347" s="4" t="s">
        <v>44</v>
      </c>
      <c r="J347" s="4" t="s">
        <v>301</v>
      </c>
      <c r="K347" s="4"/>
      <c r="L347" s="4"/>
      <c r="M347" s="18"/>
      <c r="N347" s="19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6" t="s">
        <v>1037</v>
      </c>
      <c r="B348" s="4" t="s">
        <v>1038</v>
      </c>
      <c r="C348" s="3">
        <v>1</v>
      </c>
      <c r="D348" s="17">
        <v>69.989999999999995</v>
      </c>
      <c r="E348" s="3" t="s">
        <v>1039</v>
      </c>
      <c r="F348" s="4" t="s">
        <v>355</v>
      </c>
      <c r="G348" s="16"/>
      <c r="H348" s="17">
        <v>23.195266272189347</v>
      </c>
      <c r="I348" s="4" t="s">
        <v>95</v>
      </c>
      <c r="J348" s="4" t="s">
        <v>1040</v>
      </c>
      <c r="K348" s="4"/>
      <c r="L348" s="4"/>
      <c r="M348" s="18"/>
      <c r="N348" s="19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6" t="s">
        <v>1041</v>
      </c>
      <c r="B349" s="4" t="s">
        <v>1042</v>
      </c>
      <c r="C349" s="3">
        <v>1</v>
      </c>
      <c r="D349" s="17">
        <v>69.989999999999995</v>
      </c>
      <c r="E349" s="3" t="s">
        <v>1043</v>
      </c>
      <c r="F349" s="4" t="s">
        <v>300</v>
      </c>
      <c r="G349" s="16"/>
      <c r="H349" s="17">
        <v>21.869822485207099</v>
      </c>
      <c r="I349" s="4" t="s">
        <v>44</v>
      </c>
      <c r="J349" s="4" t="s">
        <v>301</v>
      </c>
      <c r="K349" s="4"/>
      <c r="L349" s="4"/>
      <c r="M349" s="18"/>
      <c r="N349" s="19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6" t="s">
        <v>1044</v>
      </c>
      <c r="B350" s="4" t="s">
        <v>1045</v>
      </c>
      <c r="C350" s="3">
        <v>1</v>
      </c>
      <c r="D350" s="17">
        <v>100</v>
      </c>
      <c r="E350" s="3">
        <v>20553222</v>
      </c>
      <c r="F350" s="4" t="s">
        <v>884</v>
      </c>
      <c r="G350" s="16" t="s">
        <v>149</v>
      </c>
      <c r="H350" s="17">
        <v>19.517159763313611</v>
      </c>
      <c r="I350" s="4" t="s">
        <v>55</v>
      </c>
      <c r="J350" s="4" t="s">
        <v>254</v>
      </c>
      <c r="K350" s="4"/>
      <c r="L350" s="4"/>
      <c r="M350" s="18"/>
      <c r="N350" s="19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6" t="s">
        <v>1046</v>
      </c>
      <c r="B351" s="4" t="s">
        <v>1047</v>
      </c>
      <c r="C351" s="3">
        <v>1</v>
      </c>
      <c r="D351" s="17">
        <v>39.99</v>
      </c>
      <c r="E351" s="3" t="s">
        <v>1048</v>
      </c>
      <c r="F351" s="4" t="s">
        <v>1036</v>
      </c>
      <c r="G351" s="16"/>
      <c r="H351" s="17">
        <v>19.136094674556212</v>
      </c>
      <c r="I351" s="4" t="s">
        <v>356</v>
      </c>
      <c r="J351" s="4" t="s">
        <v>301</v>
      </c>
      <c r="K351" s="4"/>
      <c r="L351" s="4"/>
      <c r="M351" s="18"/>
      <c r="N351" s="19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6" t="s">
        <v>1049</v>
      </c>
      <c r="B352" s="4" t="s">
        <v>1050</v>
      </c>
      <c r="C352" s="3">
        <v>1</v>
      </c>
      <c r="D352" s="17">
        <v>59.99</v>
      </c>
      <c r="E352" s="3">
        <v>100132368</v>
      </c>
      <c r="F352" s="4" t="s">
        <v>60</v>
      </c>
      <c r="G352" s="16" t="s">
        <v>499</v>
      </c>
      <c r="H352" s="17">
        <v>18.183431952662723</v>
      </c>
      <c r="I352" s="4" t="s">
        <v>517</v>
      </c>
      <c r="J352" s="4" t="s">
        <v>518</v>
      </c>
      <c r="K352" s="4"/>
      <c r="L352" s="4"/>
      <c r="M352" s="18"/>
      <c r="N352" s="19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6" t="s">
        <v>1049</v>
      </c>
      <c r="B353" s="4" t="s">
        <v>1050</v>
      </c>
      <c r="C353" s="3">
        <v>13</v>
      </c>
      <c r="D353" s="17">
        <v>59.99</v>
      </c>
      <c r="E353" s="3">
        <v>100132368</v>
      </c>
      <c r="F353" s="4" t="s">
        <v>60</v>
      </c>
      <c r="G353" s="16" t="s">
        <v>499</v>
      </c>
      <c r="H353" s="17">
        <v>18.183431952662723</v>
      </c>
      <c r="I353" s="4" t="s">
        <v>517</v>
      </c>
      <c r="J353" s="4" t="s">
        <v>518</v>
      </c>
      <c r="K353" s="4"/>
      <c r="L353" s="4"/>
      <c r="M353" s="18"/>
      <c r="N353" s="19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6" t="s">
        <v>1049</v>
      </c>
      <c r="B354" s="4" t="s">
        <v>1050</v>
      </c>
      <c r="C354" s="3">
        <v>5</v>
      </c>
      <c r="D354" s="17">
        <v>59.99</v>
      </c>
      <c r="E354" s="3">
        <v>100132368</v>
      </c>
      <c r="F354" s="4" t="s">
        <v>60</v>
      </c>
      <c r="G354" s="16" t="s">
        <v>499</v>
      </c>
      <c r="H354" s="17">
        <v>18.183431952662723</v>
      </c>
      <c r="I354" s="4" t="s">
        <v>517</v>
      </c>
      <c r="J354" s="4" t="s">
        <v>518</v>
      </c>
      <c r="K354" s="4"/>
      <c r="L354" s="4"/>
      <c r="M354" s="18"/>
      <c r="N354" s="19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6" t="s">
        <v>1049</v>
      </c>
      <c r="B355" s="4" t="s">
        <v>1050</v>
      </c>
      <c r="C355" s="3">
        <v>1</v>
      </c>
      <c r="D355" s="17">
        <v>59.99</v>
      </c>
      <c r="E355" s="3">
        <v>100132368</v>
      </c>
      <c r="F355" s="4" t="s">
        <v>60</v>
      </c>
      <c r="G355" s="16" t="s">
        <v>499</v>
      </c>
      <c r="H355" s="17">
        <v>18.183431952662723</v>
      </c>
      <c r="I355" s="4" t="s">
        <v>517</v>
      </c>
      <c r="J355" s="4" t="s">
        <v>518</v>
      </c>
      <c r="K355" s="4"/>
      <c r="L355" s="4"/>
      <c r="M355" s="18"/>
      <c r="N355" s="19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6" t="s">
        <v>1049</v>
      </c>
      <c r="B356" s="4" t="s">
        <v>1050</v>
      </c>
      <c r="C356" s="3">
        <v>4</v>
      </c>
      <c r="D356" s="17">
        <v>59.99</v>
      </c>
      <c r="E356" s="3">
        <v>100132368</v>
      </c>
      <c r="F356" s="4" t="s">
        <v>60</v>
      </c>
      <c r="G356" s="16" t="s">
        <v>499</v>
      </c>
      <c r="H356" s="17">
        <v>18.183431952662723</v>
      </c>
      <c r="I356" s="4" t="s">
        <v>517</v>
      </c>
      <c r="J356" s="4" t="s">
        <v>518</v>
      </c>
      <c r="K356" s="4"/>
      <c r="L356" s="4"/>
      <c r="M356" s="18"/>
      <c r="N356" s="19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6" t="s">
        <v>1051</v>
      </c>
      <c r="B357" s="4" t="s">
        <v>1052</v>
      </c>
      <c r="C357" s="3">
        <v>1</v>
      </c>
      <c r="D357" s="17">
        <v>29.99</v>
      </c>
      <c r="E357" s="3" t="s">
        <v>1053</v>
      </c>
      <c r="F357" s="4" t="s">
        <v>1054</v>
      </c>
      <c r="G357" s="16"/>
      <c r="H357" s="17">
        <v>12.01420118343195</v>
      </c>
      <c r="I357" s="4" t="s">
        <v>44</v>
      </c>
      <c r="J357" s="4" t="s">
        <v>543</v>
      </c>
      <c r="K357" s="4"/>
      <c r="L357" s="4"/>
      <c r="M357" s="18"/>
      <c r="N357" s="19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6" t="s">
        <v>1055</v>
      </c>
      <c r="B358" s="4" t="s">
        <v>1056</v>
      </c>
      <c r="C358" s="3">
        <v>2</v>
      </c>
      <c r="D358" s="17">
        <v>24.99</v>
      </c>
      <c r="E358" s="3" t="s">
        <v>1057</v>
      </c>
      <c r="F358" s="4" t="s">
        <v>60</v>
      </c>
      <c r="G358" s="16"/>
      <c r="H358" s="17">
        <v>11.124260355029586</v>
      </c>
      <c r="I358" s="4" t="s">
        <v>44</v>
      </c>
      <c r="J358" s="4" t="s">
        <v>45</v>
      </c>
      <c r="K358" s="4"/>
      <c r="L358" s="4"/>
      <c r="M358" s="18"/>
      <c r="N358" s="19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6" t="s">
        <v>1055</v>
      </c>
      <c r="B359" s="4" t="s">
        <v>1056</v>
      </c>
      <c r="C359" s="3">
        <v>2</v>
      </c>
      <c r="D359" s="17">
        <v>24.99</v>
      </c>
      <c r="E359" s="3" t="s">
        <v>1057</v>
      </c>
      <c r="F359" s="4" t="s">
        <v>60</v>
      </c>
      <c r="G359" s="16"/>
      <c r="H359" s="17">
        <v>11.124260355029586</v>
      </c>
      <c r="I359" s="4" t="s">
        <v>44</v>
      </c>
      <c r="J359" s="4" t="s">
        <v>45</v>
      </c>
      <c r="K359" s="4"/>
      <c r="L359" s="4"/>
      <c r="M359" s="18"/>
      <c r="N359" s="19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6" t="s">
        <v>1058</v>
      </c>
      <c r="B360" s="4" t="s">
        <v>1059</v>
      </c>
      <c r="C360" s="3">
        <v>4</v>
      </c>
      <c r="D360" s="17">
        <v>24.99</v>
      </c>
      <c r="E360" s="3" t="s">
        <v>1060</v>
      </c>
      <c r="F360" s="4" t="s">
        <v>753</v>
      </c>
      <c r="G360" s="16" t="s">
        <v>1061</v>
      </c>
      <c r="H360" s="17">
        <v>9.9408284023668632</v>
      </c>
      <c r="I360" s="4" t="s">
        <v>253</v>
      </c>
      <c r="J360" s="4" t="s">
        <v>373</v>
      </c>
      <c r="K360" s="4"/>
      <c r="L360" s="4"/>
      <c r="M360" s="18"/>
      <c r="N360" s="19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6" t="s">
        <v>1062</v>
      </c>
      <c r="B361" s="4" t="s">
        <v>1063</v>
      </c>
      <c r="C361" s="3">
        <v>1</v>
      </c>
      <c r="D361" s="17">
        <v>24.99</v>
      </c>
      <c r="E361" s="3" t="s">
        <v>1064</v>
      </c>
      <c r="F361" s="4" t="s">
        <v>102</v>
      </c>
      <c r="G361" s="16" t="s">
        <v>1061</v>
      </c>
      <c r="H361" s="17">
        <v>9.9408284023668632</v>
      </c>
      <c r="I361" s="4" t="s">
        <v>253</v>
      </c>
      <c r="J361" s="4" t="s">
        <v>373</v>
      </c>
      <c r="K361" s="4"/>
      <c r="L361" s="4"/>
      <c r="M361" s="18"/>
      <c r="N361" s="19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6" t="s">
        <v>1065</v>
      </c>
      <c r="B362" s="4" t="s">
        <v>1066</v>
      </c>
      <c r="C362" s="3">
        <v>1</v>
      </c>
      <c r="D362" s="17">
        <v>19.989999999999998</v>
      </c>
      <c r="E362" s="3" t="s">
        <v>1067</v>
      </c>
      <c r="F362" s="4" t="s">
        <v>753</v>
      </c>
      <c r="G362" s="16"/>
      <c r="H362" s="17">
        <v>9.8911242603550296</v>
      </c>
      <c r="I362" s="4" t="s">
        <v>356</v>
      </c>
      <c r="J362" s="4" t="s">
        <v>301</v>
      </c>
      <c r="K362" s="4"/>
      <c r="L362" s="4"/>
      <c r="M362" s="18"/>
      <c r="N362" s="19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6" t="s">
        <v>1068</v>
      </c>
      <c r="B363" s="4" t="s">
        <v>1069</v>
      </c>
      <c r="C363" s="3">
        <v>1</v>
      </c>
      <c r="D363" s="17">
        <v>29.99</v>
      </c>
      <c r="E363" s="3">
        <v>2000002595</v>
      </c>
      <c r="F363" s="4" t="s">
        <v>176</v>
      </c>
      <c r="G363" s="16"/>
      <c r="H363" s="17">
        <v>9.4272189349112416</v>
      </c>
      <c r="I363" s="4" t="s">
        <v>55</v>
      </c>
      <c r="J363" s="4" t="s">
        <v>254</v>
      </c>
      <c r="K363" s="4"/>
      <c r="L363" s="4"/>
      <c r="M363" s="18"/>
      <c r="N363" s="19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6" t="s">
        <v>1070</v>
      </c>
      <c r="B364" s="4" t="s">
        <v>1071</v>
      </c>
      <c r="C364" s="3">
        <v>1</v>
      </c>
      <c r="D364" s="17">
        <v>19.989999999999998</v>
      </c>
      <c r="E364" s="3" t="s">
        <v>764</v>
      </c>
      <c r="F364" s="4" t="s">
        <v>30</v>
      </c>
      <c r="G364" s="16"/>
      <c r="H364" s="17">
        <v>8.7479289940828409</v>
      </c>
      <c r="I364" s="4" t="s">
        <v>253</v>
      </c>
      <c r="J364" s="4" t="s">
        <v>651</v>
      </c>
      <c r="K364" s="4"/>
      <c r="L364" s="4"/>
      <c r="M364" s="18"/>
      <c r="N364" s="19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6" t="s">
        <v>1072</v>
      </c>
      <c r="B365" s="4" t="s">
        <v>1073</v>
      </c>
      <c r="C365" s="3">
        <v>2</v>
      </c>
      <c r="D365" s="17">
        <v>19.989999999999998</v>
      </c>
      <c r="E365" s="3" t="s">
        <v>769</v>
      </c>
      <c r="F365" s="4" t="s">
        <v>30</v>
      </c>
      <c r="G365" s="16"/>
      <c r="H365" s="17">
        <v>8.7479289940828409</v>
      </c>
      <c r="I365" s="4" t="s">
        <v>253</v>
      </c>
      <c r="J365" s="4" t="s">
        <v>651</v>
      </c>
      <c r="K365" s="4"/>
      <c r="L365" s="4"/>
      <c r="M365" s="18"/>
      <c r="N365" s="19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6" t="s">
        <v>1074</v>
      </c>
      <c r="B366" s="4" t="s">
        <v>1075</v>
      </c>
      <c r="C366" s="3">
        <v>1</v>
      </c>
      <c r="D366" s="17">
        <v>19.989999999999998</v>
      </c>
      <c r="E366" s="3" t="s">
        <v>774</v>
      </c>
      <c r="F366" s="4" t="s">
        <v>212</v>
      </c>
      <c r="G366" s="16"/>
      <c r="H366" s="17">
        <v>8.7479289940828409</v>
      </c>
      <c r="I366" s="4" t="s">
        <v>253</v>
      </c>
      <c r="J366" s="4" t="s">
        <v>651</v>
      </c>
      <c r="K366" s="4"/>
      <c r="L366" s="4"/>
      <c r="M366" s="18"/>
      <c r="N366" s="19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6" t="s">
        <v>1070</v>
      </c>
      <c r="B367" s="4" t="s">
        <v>1071</v>
      </c>
      <c r="C367" s="3">
        <v>4</v>
      </c>
      <c r="D367" s="17">
        <v>19.989999999999998</v>
      </c>
      <c r="E367" s="3" t="s">
        <v>764</v>
      </c>
      <c r="F367" s="4" t="s">
        <v>30</v>
      </c>
      <c r="G367" s="16"/>
      <c r="H367" s="17">
        <v>8.7479289940828409</v>
      </c>
      <c r="I367" s="4" t="s">
        <v>253</v>
      </c>
      <c r="J367" s="4" t="s">
        <v>651</v>
      </c>
      <c r="K367" s="4"/>
      <c r="L367" s="4"/>
      <c r="M367" s="18"/>
      <c r="N367" s="19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6" t="s">
        <v>1076</v>
      </c>
      <c r="B368" s="4" t="s">
        <v>1077</v>
      </c>
      <c r="C368" s="3">
        <v>2</v>
      </c>
      <c r="D368" s="17">
        <v>19.989999999999998</v>
      </c>
      <c r="E368" s="3" t="s">
        <v>778</v>
      </c>
      <c r="F368" s="4" t="s">
        <v>212</v>
      </c>
      <c r="G368" s="16"/>
      <c r="H368" s="17">
        <v>8.7479289940828409</v>
      </c>
      <c r="I368" s="4" t="s">
        <v>253</v>
      </c>
      <c r="J368" s="4" t="s">
        <v>651</v>
      </c>
      <c r="K368" s="4"/>
      <c r="L368" s="4"/>
      <c r="M368" s="18"/>
      <c r="N368" s="19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6" t="s">
        <v>1078</v>
      </c>
      <c r="B369" s="4" t="s">
        <v>1079</v>
      </c>
      <c r="C369" s="3">
        <v>2</v>
      </c>
      <c r="D369" s="17">
        <v>19.989999999999998</v>
      </c>
      <c r="E369" s="3" t="s">
        <v>774</v>
      </c>
      <c r="F369" s="4" t="s">
        <v>30</v>
      </c>
      <c r="G369" s="16"/>
      <c r="H369" s="17">
        <v>8.7479289940828409</v>
      </c>
      <c r="I369" s="4" t="s">
        <v>253</v>
      </c>
      <c r="J369" s="4" t="s">
        <v>651</v>
      </c>
      <c r="K369" s="4"/>
      <c r="L369" s="4"/>
      <c r="M369" s="18"/>
      <c r="N369" s="19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6" t="s">
        <v>1072</v>
      </c>
      <c r="B370" s="4" t="s">
        <v>1073</v>
      </c>
      <c r="C370" s="3">
        <v>2</v>
      </c>
      <c r="D370" s="17">
        <v>19.989999999999998</v>
      </c>
      <c r="E370" s="3" t="s">
        <v>769</v>
      </c>
      <c r="F370" s="4" t="s">
        <v>30</v>
      </c>
      <c r="G370" s="16"/>
      <c r="H370" s="17">
        <v>8.7479289940828409</v>
      </c>
      <c r="I370" s="4" t="s">
        <v>253</v>
      </c>
      <c r="J370" s="4" t="s">
        <v>651</v>
      </c>
      <c r="K370" s="4"/>
      <c r="L370" s="4"/>
      <c r="M370" s="18"/>
      <c r="N370" s="19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6" t="s">
        <v>1080</v>
      </c>
      <c r="B371" s="4" t="s">
        <v>1081</v>
      </c>
      <c r="C371" s="3">
        <v>1</v>
      </c>
      <c r="D371" s="17">
        <v>19.989999999999998</v>
      </c>
      <c r="E371" s="3" t="s">
        <v>774</v>
      </c>
      <c r="F371" s="4" t="s">
        <v>216</v>
      </c>
      <c r="G371" s="16"/>
      <c r="H371" s="17">
        <v>8.7479289940828409</v>
      </c>
      <c r="I371" s="4" t="s">
        <v>253</v>
      </c>
      <c r="J371" s="4" t="s">
        <v>651</v>
      </c>
      <c r="K371" s="4"/>
      <c r="L371" s="4"/>
      <c r="M371" s="18"/>
      <c r="N371" s="19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6" t="s">
        <v>1082</v>
      </c>
      <c r="B372" s="4" t="s">
        <v>1083</v>
      </c>
      <c r="C372" s="3">
        <v>1</v>
      </c>
      <c r="D372" s="17">
        <v>19.989999999999998</v>
      </c>
      <c r="E372" s="3" t="s">
        <v>1084</v>
      </c>
      <c r="F372" s="4" t="s">
        <v>753</v>
      </c>
      <c r="G372" s="16" t="s">
        <v>1085</v>
      </c>
      <c r="H372" s="17">
        <v>8.2840236686390529</v>
      </c>
      <c r="I372" s="4" t="s">
        <v>253</v>
      </c>
      <c r="J372" s="4" t="s">
        <v>373</v>
      </c>
      <c r="K372" s="4"/>
      <c r="L372" s="4"/>
      <c r="M372" s="18"/>
      <c r="N372" s="19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6" t="s">
        <v>1086</v>
      </c>
      <c r="B373" s="4" t="s">
        <v>1087</v>
      </c>
      <c r="C373" s="3">
        <v>2</v>
      </c>
      <c r="D373" s="17">
        <v>19.989999999999998</v>
      </c>
      <c r="E373" s="3" t="s">
        <v>1088</v>
      </c>
      <c r="F373" s="4" t="s">
        <v>216</v>
      </c>
      <c r="G373" s="16" t="s">
        <v>1085</v>
      </c>
      <c r="H373" s="17">
        <v>8.2840236686390529</v>
      </c>
      <c r="I373" s="4" t="s">
        <v>253</v>
      </c>
      <c r="J373" s="4" t="s">
        <v>373</v>
      </c>
      <c r="K373" s="4"/>
      <c r="L373" s="4"/>
      <c r="M373" s="18"/>
      <c r="N373" s="19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6" t="s">
        <v>1089</v>
      </c>
      <c r="B374" s="4" t="s">
        <v>1090</v>
      </c>
      <c r="C374" s="3">
        <v>3</v>
      </c>
      <c r="D374" s="17">
        <v>19.989999999999998</v>
      </c>
      <c r="E374" s="3">
        <v>821</v>
      </c>
      <c r="F374" s="4" t="s">
        <v>538</v>
      </c>
      <c r="G374" s="16"/>
      <c r="H374" s="17">
        <v>8.0473372781065091</v>
      </c>
      <c r="I374" s="4" t="s">
        <v>44</v>
      </c>
      <c r="J374" s="4" t="s">
        <v>891</v>
      </c>
      <c r="K374" s="4"/>
      <c r="L374" s="4"/>
      <c r="M374" s="18"/>
      <c r="N374" s="19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6" t="s">
        <v>1091</v>
      </c>
      <c r="B375" s="4" t="s">
        <v>1090</v>
      </c>
      <c r="C375" s="3">
        <v>3</v>
      </c>
      <c r="D375" s="17">
        <v>19.989999999999998</v>
      </c>
      <c r="E375" s="3">
        <v>822</v>
      </c>
      <c r="F375" s="4" t="s">
        <v>1092</v>
      </c>
      <c r="G375" s="16"/>
      <c r="H375" s="17">
        <v>8.0473372781065091</v>
      </c>
      <c r="I375" s="4" t="s">
        <v>44</v>
      </c>
      <c r="J375" s="4" t="s">
        <v>891</v>
      </c>
      <c r="K375" s="4"/>
      <c r="L375" s="4"/>
      <c r="M375" s="18"/>
      <c r="N375" s="19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6" t="s">
        <v>1093</v>
      </c>
      <c r="B376" s="4" t="s">
        <v>1094</v>
      </c>
      <c r="C376" s="3">
        <v>1</v>
      </c>
      <c r="D376" s="17">
        <v>19.989999999999998</v>
      </c>
      <c r="E376" s="3">
        <v>815</v>
      </c>
      <c r="F376" s="4" t="s">
        <v>521</v>
      </c>
      <c r="G376" s="16"/>
      <c r="H376" s="17">
        <v>8.0473372781065091</v>
      </c>
      <c r="I376" s="4" t="s">
        <v>44</v>
      </c>
      <c r="J376" s="4" t="s">
        <v>891</v>
      </c>
      <c r="K376" s="4"/>
      <c r="L376" s="4"/>
      <c r="M376" s="18"/>
      <c r="N376" s="19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6" t="s">
        <v>1095</v>
      </c>
      <c r="B377" s="4" t="s">
        <v>1096</v>
      </c>
      <c r="C377" s="3">
        <v>2</v>
      </c>
      <c r="D377" s="17">
        <v>19.989999999999998</v>
      </c>
      <c r="E377" s="3">
        <v>816</v>
      </c>
      <c r="F377" s="4" t="s">
        <v>1092</v>
      </c>
      <c r="G377" s="16"/>
      <c r="H377" s="17">
        <v>8.0473372781065091</v>
      </c>
      <c r="I377" s="4" t="s">
        <v>44</v>
      </c>
      <c r="J377" s="4" t="s">
        <v>891</v>
      </c>
      <c r="K377" s="4"/>
      <c r="L377" s="4"/>
      <c r="M377" s="18"/>
      <c r="N377" s="19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6" t="s">
        <v>1097</v>
      </c>
      <c r="B378" s="4" t="s">
        <v>1098</v>
      </c>
      <c r="C378" s="3">
        <v>1</v>
      </c>
      <c r="D378" s="17">
        <v>19.989999999999998</v>
      </c>
      <c r="E378" s="3" t="s">
        <v>1099</v>
      </c>
      <c r="F378" s="4" t="s">
        <v>102</v>
      </c>
      <c r="G378" s="16" t="s">
        <v>1100</v>
      </c>
      <c r="H378" s="17">
        <v>7.7869822485207099</v>
      </c>
      <c r="I378" s="4" t="s">
        <v>253</v>
      </c>
      <c r="J378" s="4" t="s">
        <v>373</v>
      </c>
      <c r="K378" s="4"/>
      <c r="L378" s="4"/>
      <c r="M378" s="18"/>
      <c r="N378" s="19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6" t="s">
        <v>1101</v>
      </c>
      <c r="B379" s="4" t="s">
        <v>1102</v>
      </c>
      <c r="C379" s="3">
        <v>1</v>
      </c>
      <c r="D379" s="17">
        <v>19.989999999999998</v>
      </c>
      <c r="E379" s="3" t="s">
        <v>1103</v>
      </c>
      <c r="F379" s="4" t="s">
        <v>38</v>
      </c>
      <c r="G379" s="16" t="s">
        <v>1100</v>
      </c>
      <c r="H379" s="17">
        <v>7.7869822485207099</v>
      </c>
      <c r="I379" s="4" t="s">
        <v>253</v>
      </c>
      <c r="J379" s="4" t="s">
        <v>373</v>
      </c>
      <c r="K379" s="4"/>
      <c r="L379" s="4"/>
      <c r="M379" s="18"/>
      <c r="N379" s="19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6" t="s">
        <v>1104</v>
      </c>
      <c r="B380" s="4" t="s">
        <v>1105</v>
      </c>
      <c r="C380" s="3">
        <v>3</v>
      </c>
      <c r="D380" s="17">
        <v>19.989999999999998</v>
      </c>
      <c r="E380" s="3" t="s">
        <v>1106</v>
      </c>
      <c r="F380" s="4" t="s">
        <v>753</v>
      </c>
      <c r="G380" s="16" t="s">
        <v>1100</v>
      </c>
      <c r="H380" s="17">
        <v>7.7869822485207099</v>
      </c>
      <c r="I380" s="4" t="s">
        <v>253</v>
      </c>
      <c r="J380" s="4" t="s">
        <v>373</v>
      </c>
      <c r="K380" s="4"/>
      <c r="L380" s="4"/>
      <c r="M380" s="18"/>
      <c r="N380" s="19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6" t="s">
        <v>1107</v>
      </c>
      <c r="B381" s="4" t="s">
        <v>1108</v>
      </c>
      <c r="C381" s="3">
        <v>1</v>
      </c>
      <c r="D381" s="17">
        <v>19.989999999999998</v>
      </c>
      <c r="E381" s="3" t="s">
        <v>1109</v>
      </c>
      <c r="F381" s="4" t="s">
        <v>761</v>
      </c>
      <c r="G381" s="16" t="s">
        <v>1100</v>
      </c>
      <c r="H381" s="17">
        <v>7.7869822485207099</v>
      </c>
      <c r="I381" s="4" t="s">
        <v>253</v>
      </c>
      <c r="J381" s="4" t="s">
        <v>373</v>
      </c>
      <c r="K381" s="4"/>
      <c r="L381" s="4"/>
      <c r="M381" s="18"/>
      <c r="N381" s="19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6" t="s">
        <v>1110</v>
      </c>
      <c r="B382" s="4" t="s">
        <v>1111</v>
      </c>
      <c r="C382" s="3">
        <v>1</v>
      </c>
      <c r="D382" s="17">
        <v>19.989999999999998</v>
      </c>
      <c r="E382" s="3" t="s">
        <v>1112</v>
      </c>
      <c r="F382" s="4" t="s">
        <v>538</v>
      </c>
      <c r="G382" s="16" t="s">
        <v>1100</v>
      </c>
      <c r="H382" s="17">
        <v>7.7869822485207099</v>
      </c>
      <c r="I382" s="4" t="s">
        <v>253</v>
      </c>
      <c r="J382" s="4" t="s">
        <v>373</v>
      </c>
      <c r="K382" s="4"/>
      <c r="L382" s="4"/>
      <c r="M382" s="18"/>
      <c r="N382" s="19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6" t="s">
        <v>1104</v>
      </c>
      <c r="B383" s="4" t="s">
        <v>1105</v>
      </c>
      <c r="C383" s="3">
        <v>1</v>
      </c>
      <c r="D383" s="17">
        <v>19.989999999999998</v>
      </c>
      <c r="E383" s="3" t="s">
        <v>1106</v>
      </c>
      <c r="F383" s="4" t="s">
        <v>753</v>
      </c>
      <c r="G383" s="16" t="s">
        <v>1100</v>
      </c>
      <c r="H383" s="17">
        <v>7.7869822485207099</v>
      </c>
      <c r="I383" s="4" t="s">
        <v>253</v>
      </c>
      <c r="J383" s="4" t="s">
        <v>373</v>
      </c>
      <c r="K383" s="4"/>
      <c r="L383" s="4"/>
      <c r="M383" s="18"/>
      <c r="N383" s="19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6" t="s">
        <v>1113</v>
      </c>
      <c r="B384" s="4" t="s">
        <v>1114</v>
      </c>
      <c r="C384" s="3">
        <v>1</v>
      </c>
      <c r="D384" s="17">
        <v>19.989999999999998</v>
      </c>
      <c r="E384" s="3" t="s">
        <v>1115</v>
      </c>
      <c r="F384" s="4" t="s">
        <v>176</v>
      </c>
      <c r="G384" s="16"/>
      <c r="H384" s="17">
        <v>7.7633136094674553</v>
      </c>
      <c r="I384" s="4" t="s">
        <v>44</v>
      </c>
      <c r="J384" s="4" t="s">
        <v>1116</v>
      </c>
      <c r="K384" s="4"/>
      <c r="L384" s="4"/>
      <c r="M384" s="18"/>
      <c r="N384" s="19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6" t="s">
        <v>1117</v>
      </c>
      <c r="B385" s="4" t="s">
        <v>1118</v>
      </c>
      <c r="C385" s="3">
        <v>3</v>
      </c>
      <c r="D385" s="17">
        <v>19.989999999999998</v>
      </c>
      <c r="E385" s="3" t="s">
        <v>815</v>
      </c>
      <c r="F385" s="4" t="s">
        <v>30</v>
      </c>
      <c r="G385" s="16"/>
      <c r="H385" s="17">
        <v>7.7041420118343193</v>
      </c>
      <c r="I385" s="4" t="s">
        <v>253</v>
      </c>
      <c r="J385" s="4" t="s">
        <v>651</v>
      </c>
      <c r="K385" s="4"/>
      <c r="L385" s="4"/>
      <c r="M385" s="18"/>
      <c r="N385" s="19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6" t="s">
        <v>1117</v>
      </c>
      <c r="B386" s="4" t="s">
        <v>1118</v>
      </c>
      <c r="C386" s="3">
        <v>6</v>
      </c>
      <c r="D386" s="17">
        <v>19.989999999999998</v>
      </c>
      <c r="E386" s="3" t="s">
        <v>815</v>
      </c>
      <c r="F386" s="4" t="s">
        <v>30</v>
      </c>
      <c r="G386" s="16"/>
      <c r="H386" s="17">
        <v>7.7041420118343193</v>
      </c>
      <c r="I386" s="4" t="s">
        <v>253</v>
      </c>
      <c r="J386" s="4" t="s">
        <v>651</v>
      </c>
      <c r="K386" s="4"/>
      <c r="L386" s="4"/>
      <c r="M386" s="18"/>
      <c r="N386" s="19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6" t="s">
        <v>1119</v>
      </c>
      <c r="B387" s="4" t="s">
        <v>1120</v>
      </c>
      <c r="C387" s="3">
        <v>3</v>
      </c>
      <c r="D387" s="17">
        <v>16.989999999999998</v>
      </c>
      <c r="E387" s="3" t="s">
        <v>1121</v>
      </c>
      <c r="F387" s="4" t="s">
        <v>252</v>
      </c>
      <c r="G387" s="16"/>
      <c r="H387" s="17">
        <v>7.1656804733727801</v>
      </c>
      <c r="I387" s="4" t="s">
        <v>253</v>
      </c>
      <c r="J387" s="4" t="s">
        <v>651</v>
      </c>
      <c r="K387" s="4"/>
      <c r="L387" s="4"/>
      <c r="M387" s="18"/>
      <c r="N387" s="19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6" t="s">
        <v>1122</v>
      </c>
      <c r="B388" s="4" t="s">
        <v>1123</v>
      </c>
      <c r="C388" s="3">
        <v>3</v>
      </c>
      <c r="D388" s="17">
        <v>16.989999999999998</v>
      </c>
      <c r="E388" s="3" t="s">
        <v>1124</v>
      </c>
      <c r="F388" s="4" t="s">
        <v>30</v>
      </c>
      <c r="G388" s="16"/>
      <c r="H388" s="17">
        <v>7.1656804733727801</v>
      </c>
      <c r="I388" s="4" t="s">
        <v>253</v>
      </c>
      <c r="J388" s="4" t="s">
        <v>651</v>
      </c>
      <c r="K388" s="4"/>
      <c r="L388" s="4"/>
      <c r="M388" s="18"/>
      <c r="N388" s="19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6" t="s">
        <v>1119</v>
      </c>
      <c r="B389" s="4" t="s">
        <v>1120</v>
      </c>
      <c r="C389" s="3">
        <v>2</v>
      </c>
      <c r="D389" s="17">
        <v>16.989999999999998</v>
      </c>
      <c r="E389" s="3" t="s">
        <v>1121</v>
      </c>
      <c r="F389" s="4" t="s">
        <v>252</v>
      </c>
      <c r="G389" s="16"/>
      <c r="H389" s="17">
        <v>7.1656804733727801</v>
      </c>
      <c r="I389" s="4" t="s">
        <v>253</v>
      </c>
      <c r="J389" s="4" t="s">
        <v>651</v>
      </c>
      <c r="K389" s="4"/>
      <c r="L389" s="4"/>
      <c r="M389" s="18"/>
      <c r="N389" s="19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6" t="s">
        <v>1122</v>
      </c>
      <c r="B390" s="4" t="s">
        <v>1123</v>
      </c>
      <c r="C390" s="3">
        <v>5</v>
      </c>
      <c r="D390" s="17">
        <v>16.989999999999998</v>
      </c>
      <c r="E390" s="3" t="s">
        <v>1124</v>
      </c>
      <c r="F390" s="4" t="s">
        <v>30</v>
      </c>
      <c r="G390" s="16"/>
      <c r="H390" s="17">
        <v>7.1656804733727801</v>
      </c>
      <c r="I390" s="4" t="s">
        <v>253</v>
      </c>
      <c r="J390" s="4" t="s">
        <v>651</v>
      </c>
      <c r="K390" s="4"/>
      <c r="L390" s="4"/>
      <c r="M390" s="18"/>
      <c r="N390" s="19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6" t="s">
        <v>1125</v>
      </c>
      <c r="B391" s="4" t="s">
        <v>1126</v>
      </c>
      <c r="C391" s="3">
        <v>1</v>
      </c>
      <c r="D391" s="17">
        <v>19.989999999999998</v>
      </c>
      <c r="E391" s="3" t="s">
        <v>1127</v>
      </c>
      <c r="F391" s="4" t="s">
        <v>176</v>
      </c>
      <c r="G391" s="16"/>
      <c r="H391" s="17">
        <v>6.9585798816568047</v>
      </c>
      <c r="I391" s="4" t="s">
        <v>44</v>
      </c>
      <c r="J391" s="4" t="s">
        <v>1116</v>
      </c>
      <c r="K391" s="4"/>
      <c r="L391" s="4"/>
      <c r="M391" s="18"/>
      <c r="N391" s="19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6" t="s">
        <v>1125</v>
      </c>
      <c r="B392" s="4" t="s">
        <v>1126</v>
      </c>
      <c r="C392" s="3">
        <v>1</v>
      </c>
      <c r="D392" s="17">
        <v>19.989999999999998</v>
      </c>
      <c r="E392" s="3" t="s">
        <v>1127</v>
      </c>
      <c r="F392" s="4" t="s">
        <v>176</v>
      </c>
      <c r="G392" s="16"/>
      <c r="H392" s="17">
        <v>6.9585798816568047</v>
      </c>
      <c r="I392" s="4" t="s">
        <v>44</v>
      </c>
      <c r="J392" s="4" t="s">
        <v>1116</v>
      </c>
      <c r="K392" s="4"/>
      <c r="L392" s="4"/>
      <c r="M392" s="18"/>
      <c r="N392" s="19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6" t="s">
        <v>1128</v>
      </c>
      <c r="B393" s="4" t="s">
        <v>1129</v>
      </c>
      <c r="C393" s="3">
        <v>1</v>
      </c>
      <c r="D393" s="17">
        <v>8.99</v>
      </c>
      <c r="E393" s="3" t="s">
        <v>1130</v>
      </c>
      <c r="F393" s="4" t="s">
        <v>216</v>
      </c>
      <c r="G393" s="16"/>
      <c r="H393" s="17">
        <v>5.5917159763313604</v>
      </c>
      <c r="I393" s="4" t="s">
        <v>253</v>
      </c>
      <c r="J393" s="4" t="s">
        <v>651</v>
      </c>
      <c r="K393" s="4"/>
      <c r="L393" s="4"/>
      <c r="M393" s="18"/>
      <c r="N393" s="19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6" t="s">
        <v>1128</v>
      </c>
      <c r="B394" s="4" t="s">
        <v>1129</v>
      </c>
      <c r="C394" s="3">
        <v>1</v>
      </c>
      <c r="D394" s="17">
        <v>8.99</v>
      </c>
      <c r="E394" s="3" t="s">
        <v>1130</v>
      </c>
      <c r="F394" s="4" t="s">
        <v>216</v>
      </c>
      <c r="G394" s="16"/>
      <c r="H394" s="17">
        <v>5.5917159763313604</v>
      </c>
      <c r="I394" s="4" t="s">
        <v>253</v>
      </c>
      <c r="J394" s="4" t="s">
        <v>651</v>
      </c>
      <c r="K394" s="4"/>
      <c r="L394" s="4"/>
      <c r="M394" s="18"/>
      <c r="N394" s="19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6" t="s">
        <v>1131</v>
      </c>
      <c r="B395" s="4" t="s">
        <v>1132</v>
      </c>
      <c r="C395" s="3">
        <v>3</v>
      </c>
      <c r="D395" s="17">
        <v>14.99</v>
      </c>
      <c r="E395" s="3" t="s">
        <v>1133</v>
      </c>
      <c r="F395" s="4" t="s">
        <v>761</v>
      </c>
      <c r="G395" s="16" t="s">
        <v>1134</v>
      </c>
      <c r="H395" s="17">
        <v>5.3846153846153841</v>
      </c>
      <c r="I395" s="4" t="s">
        <v>253</v>
      </c>
      <c r="J395" s="4" t="s">
        <v>373</v>
      </c>
      <c r="K395" s="4"/>
      <c r="L395" s="4"/>
      <c r="M395" s="18"/>
      <c r="N395" s="19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6" t="s">
        <v>1135</v>
      </c>
      <c r="B396" s="4" t="s">
        <v>1136</v>
      </c>
      <c r="C396" s="3">
        <v>1</v>
      </c>
      <c r="D396" s="17">
        <v>14.99</v>
      </c>
      <c r="E396" s="3" t="s">
        <v>1137</v>
      </c>
      <c r="F396" s="4" t="s">
        <v>828</v>
      </c>
      <c r="G396" s="16"/>
      <c r="H396" s="17">
        <v>5.3481656804733717</v>
      </c>
      <c r="I396" s="4" t="s">
        <v>556</v>
      </c>
      <c r="J396" s="4" t="s">
        <v>346</v>
      </c>
      <c r="K396" s="4"/>
      <c r="L396" s="4"/>
      <c r="M396" s="18"/>
      <c r="N396" s="19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6" t="s">
        <v>1138</v>
      </c>
      <c r="B397" s="4" t="s">
        <v>1139</v>
      </c>
      <c r="C397" s="3">
        <v>3</v>
      </c>
      <c r="D397" s="17">
        <v>12.99</v>
      </c>
      <c r="E397" s="3" t="s">
        <v>1140</v>
      </c>
      <c r="F397" s="4" t="s">
        <v>258</v>
      </c>
      <c r="G397" s="16" t="s">
        <v>823</v>
      </c>
      <c r="H397" s="17">
        <v>4.443550295857988</v>
      </c>
      <c r="I397" s="4" t="s">
        <v>556</v>
      </c>
      <c r="J397" s="4" t="s">
        <v>346</v>
      </c>
      <c r="K397" s="4"/>
      <c r="L397" s="4"/>
      <c r="M397" s="18"/>
      <c r="N397" s="19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6" t="s">
        <v>1141</v>
      </c>
      <c r="B398" s="4" t="s">
        <v>1142</v>
      </c>
      <c r="C398" s="3">
        <v>6</v>
      </c>
      <c r="D398" s="17">
        <v>12.99</v>
      </c>
      <c r="E398" s="3" t="s">
        <v>1143</v>
      </c>
      <c r="F398" s="4" t="s">
        <v>38</v>
      </c>
      <c r="G398" s="16" t="s">
        <v>823</v>
      </c>
      <c r="H398" s="17">
        <v>4.264615384615384</v>
      </c>
      <c r="I398" s="4" t="s">
        <v>556</v>
      </c>
      <c r="J398" s="4" t="s">
        <v>346</v>
      </c>
      <c r="K398" s="4"/>
      <c r="L398" s="4"/>
      <c r="M398" s="18"/>
      <c r="N398" s="19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6" t="s">
        <v>1141</v>
      </c>
      <c r="B399" s="4" t="s">
        <v>1142</v>
      </c>
      <c r="C399" s="3">
        <v>2</v>
      </c>
      <c r="D399" s="17">
        <v>12.99</v>
      </c>
      <c r="E399" s="3" t="s">
        <v>1143</v>
      </c>
      <c r="F399" s="4" t="s">
        <v>38</v>
      </c>
      <c r="G399" s="16" t="s">
        <v>823</v>
      </c>
      <c r="H399" s="17">
        <v>4.264615384615384</v>
      </c>
      <c r="I399" s="4" t="s">
        <v>556</v>
      </c>
      <c r="J399" s="4" t="s">
        <v>346</v>
      </c>
      <c r="K399" s="4"/>
      <c r="L399" s="4"/>
      <c r="M399" s="18"/>
      <c r="N399" s="19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6" t="s">
        <v>1144</v>
      </c>
      <c r="B400" s="4" t="s">
        <v>1145</v>
      </c>
      <c r="C400" s="3">
        <v>2</v>
      </c>
      <c r="D400" s="17">
        <v>12.99</v>
      </c>
      <c r="E400" s="3" t="s">
        <v>1146</v>
      </c>
      <c r="F400" s="4" t="s">
        <v>38</v>
      </c>
      <c r="G400" s="16" t="s">
        <v>823</v>
      </c>
      <c r="H400" s="17">
        <v>4.0558579881656796</v>
      </c>
      <c r="I400" s="4" t="s">
        <v>556</v>
      </c>
      <c r="J400" s="4" t="s">
        <v>346</v>
      </c>
      <c r="K400" s="4"/>
      <c r="L400" s="4"/>
      <c r="M400" s="18"/>
      <c r="N400" s="19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6" t="s">
        <v>1144</v>
      </c>
      <c r="B401" s="4" t="s">
        <v>1145</v>
      </c>
      <c r="C401" s="3">
        <v>5</v>
      </c>
      <c r="D401" s="17">
        <v>12.99</v>
      </c>
      <c r="E401" s="3" t="s">
        <v>1146</v>
      </c>
      <c r="F401" s="4" t="s">
        <v>38</v>
      </c>
      <c r="G401" s="16" t="s">
        <v>823</v>
      </c>
      <c r="H401" s="17">
        <v>4.0558579881656796</v>
      </c>
      <c r="I401" s="4" t="s">
        <v>556</v>
      </c>
      <c r="J401" s="4" t="s">
        <v>346</v>
      </c>
      <c r="K401" s="4"/>
      <c r="L401" s="4"/>
      <c r="M401" s="18"/>
      <c r="N401" s="19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6" t="s">
        <v>1147</v>
      </c>
      <c r="B402" s="4" t="s">
        <v>1148</v>
      </c>
      <c r="C402" s="3">
        <v>1</v>
      </c>
      <c r="D402" s="17">
        <v>6.99</v>
      </c>
      <c r="E402" s="3">
        <v>10013245300</v>
      </c>
      <c r="F402" s="4" t="s">
        <v>43</v>
      </c>
      <c r="G402" s="16" t="s">
        <v>629</v>
      </c>
      <c r="H402" s="17">
        <v>2.7734911242603548</v>
      </c>
      <c r="I402" s="4" t="s">
        <v>556</v>
      </c>
      <c r="J402" s="4" t="s">
        <v>966</v>
      </c>
      <c r="K402" s="4"/>
      <c r="L402" s="4"/>
      <c r="M402" s="18"/>
      <c r="N402" s="19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6" t="s">
        <v>1149</v>
      </c>
      <c r="B403" s="4" t="s">
        <v>1150</v>
      </c>
      <c r="C403" s="3">
        <v>1</v>
      </c>
      <c r="D403" s="17">
        <v>5.99</v>
      </c>
      <c r="E403" s="3" t="s">
        <v>1151</v>
      </c>
      <c r="F403" s="4" t="s">
        <v>176</v>
      </c>
      <c r="G403" s="16" t="s">
        <v>823</v>
      </c>
      <c r="H403" s="17">
        <v>2.6144378698224848</v>
      </c>
      <c r="I403" s="4" t="s">
        <v>630</v>
      </c>
      <c r="J403" s="4" t="s">
        <v>45</v>
      </c>
      <c r="K403" s="4"/>
      <c r="L403" s="4"/>
      <c r="M403" s="18"/>
      <c r="N403" s="19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6" t="s">
        <v>1152</v>
      </c>
      <c r="B404" s="4" t="s">
        <v>1153</v>
      </c>
      <c r="C404" s="3">
        <v>1</v>
      </c>
      <c r="D404" s="17">
        <v>4.99</v>
      </c>
      <c r="E404" s="3" t="s">
        <v>1154</v>
      </c>
      <c r="F404" s="4" t="s">
        <v>411</v>
      </c>
      <c r="G404" s="16" t="s">
        <v>915</v>
      </c>
      <c r="H404" s="17">
        <v>1.978224852071006</v>
      </c>
      <c r="I404" s="4" t="s">
        <v>630</v>
      </c>
      <c r="J404" s="4" t="s">
        <v>631</v>
      </c>
      <c r="K404" s="4"/>
      <c r="L404" s="4"/>
      <c r="M404" s="18"/>
      <c r="N404" s="19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6" t="s">
        <v>1155</v>
      </c>
      <c r="B405" s="4" t="s">
        <v>1156</v>
      </c>
      <c r="C405" s="3">
        <v>1</v>
      </c>
      <c r="D405" s="17">
        <v>4.99</v>
      </c>
      <c r="E405" s="3" t="s">
        <v>1157</v>
      </c>
      <c r="F405" s="4" t="s">
        <v>1158</v>
      </c>
      <c r="G405" s="16" t="s">
        <v>915</v>
      </c>
      <c r="H405" s="17">
        <v>1.978224852071006</v>
      </c>
      <c r="I405" s="4" t="s">
        <v>630</v>
      </c>
      <c r="J405" s="4" t="s">
        <v>631</v>
      </c>
      <c r="K405" s="4"/>
      <c r="L405" s="4"/>
      <c r="M405" s="18"/>
      <c r="N405" s="19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2:A11"/>
    <mergeCell ref="B2:B11"/>
    <mergeCell ref="D2:D11"/>
    <mergeCell ref="E2:E11"/>
  </mergeCells>
  <pageMargins left="0.5" right="0.5" top="0.25" bottom="0.25" header="0" footer="0"/>
  <pageSetup scale="6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13999974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Dators</cp:lastModifiedBy>
  <dcterms:created xsi:type="dcterms:W3CDTF">2022-06-03T11:11:32Z</dcterms:created>
  <dcterms:modified xsi:type="dcterms:W3CDTF">2022-06-07T09:53:13Z</dcterms:modified>
</cp:coreProperties>
</file>